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2055" yWindow="180" windowWidth="21270" windowHeight="11370" firstSheet="1" activeTab="1"/>
  </bookViews>
  <sheets>
    <sheet name="Options" sheetId="16" state="hidden" r:id="rId1"/>
    <sheet name="Report" sheetId="1" r:id="rId2"/>
    <sheet name="Sheet1" sheetId="17" state="veryHidden" r:id="rId3"/>
    <sheet name="Sheet2" sheetId="18" state="veryHidden" r:id="rId4"/>
    <sheet name="Sheet3" sheetId="19" state="veryHidden" r:id="rId5"/>
    <sheet name="Sheet4" sheetId="20" state="veryHidden" r:id="rId6"/>
    <sheet name="Sheet5" sheetId="21" state="veryHidden" r:id="rId7"/>
    <sheet name="Sheet6" sheetId="22" state="veryHidden" r:id="rId8"/>
  </sheets>
  <definedNames>
    <definedName name="Account">Report!$C$7</definedName>
    <definedName name="AccountIDN">Options!$D$11</definedName>
    <definedName name="AccountIDP">Options!$G$11</definedName>
    <definedName name="accountN">#REF!</definedName>
    <definedName name="AccountNo">Report!$C$7</definedName>
    <definedName name="AccountnumN">Options!$D$10</definedName>
    <definedName name="accountNumP">Options!$G$10</definedName>
    <definedName name="AccountsN">Options!$D$10</definedName>
    <definedName name="accountsp">Options!$G$10</definedName>
    <definedName name="datasourceN">Options!$D$20</definedName>
    <definedName name="datasourceP">Options!$G$20</definedName>
    <definedName name="Datefilter">Report!$C$4</definedName>
    <definedName name="datefilterp">Options!$G$5</definedName>
    <definedName name="DatespreadN">Options!$D$15</definedName>
    <definedName name="dealergroupN">Options!$D$8</definedName>
    <definedName name="dealergroupp">Options!$G$8</definedName>
    <definedName name="EmailDistN">Options!$D$21</definedName>
    <definedName name="EmailDistO">Options!$G$21</definedName>
    <definedName name="Int_or_client">Options!$D$7</definedName>
    <definedName name="LastdateN">Options!$D$13</definedName>
    <definedName name="LimitN">Options!$D$22</definedName>
    <definedName name="ParentacctN">Options!$D$9</definedName>
    <definedName name="parentacctp">Options!$G$9</definedName>
    <definedName name="_xlnm.Print_Area" localSheetId="1">Report!$E$14:$R$70</definedName>
    <definedName name="_xlnm.Print_Titles" localSheetId="1">Report!$21:$21</definedName>
    <definedName name="StartdateN">Options!$D$14</definedName>
    <definedName name="StringoneP">Options!$G$17</definedName>
    <definedName name="StringtwoP">Options!$G$19</definedName>
    <definedName name="TimeDescP">Options!$F$5</definedName>
    <definedName name="TimePeriodN">Options!$D$12</definedName>
    <definedName name="timperiod">Options!$D$13</definedName>
  </definedNames>
  <calcPr calcId="145621"/>
</workbook>
</file>

<file path=xl/calcChain.xml><?xml version="1.0" encoding="utf-8"?>
<calcChain xmlns="http://schemas.openxmlformats.org/spreadsheetml/2006/main">
  <c r="BF22" i="1" l="1"/>
  <c r="BF23" i="1" s="1"/>
  <c r="BF24" i="1"/>
  <c r="BF25" i="1" s="1"/>
  <c r="BF26" i="1"/>
  <c r="BF27" i="1" s="1"/>
  <c r="BF28" i="1"/>
  <c r="BF29" i="1" s="1"/>
  <c r="BF30" i="1"/>
  <c r="BF31" i="1" s="1"/>
  <c r="BF32" i="1"/>
  <c r="BF33" i="1" s="1"/>
  <c r="BF34" i="1"/>
  <c r="BF35" i="1" s="1"/>
  <c r="BF36" i="1"/>
  <c r="BF37" i="1" s="1"/>
  <c r="BF38" i="1"/>
  <c r="BF39" i="1" s="1"/>
  <c r="BF40" i="1"/>
  <c r="BF41" i="1" s="1"/>
  <c r="BF42" i="1"/>
  <c r="BF43" i="1" s="1"/>
  <c r="BF44" i="1"/>
  <c r="BF45" i="1" s="1"/>
  <c r="BF46" i="1"/>
  <c r="BF47" i="1" s="1"/>
  <c r="BF48" i="1"/>
  <c r="BF49" i="1" s="1"/>
  <c r="BF50" i="1"/>
  <c r="BF51" i="1" s="1"/>
  <c r="BF52" i="1"/>
  <c r="BF53" i="1" s="1"/>
  <c r="BF55" i="1"/>
  <c r="BF56" i="1"/>
  <c r="BF57" i="1"/>
  <c r="BF58" i="1"/>
  <c r="BF59" i="1"/>
  <c r="BF60" i="1"/>
  <c r="BF61" i="1"/>
  <c r="BF62" i="1"/>
  <c r="BF63" i="1"/>
  <c r="BF65" i="1"/>
  <c r="BF66" i="1"/>
  <c r="BF67" i="1" s="1"/>
  <c r="BF68" i="1"/>
  <c r="BE23" i="1"/>
  <c r="BE25" i="1"/>
  <c r="BE27" i="1"/>
  <c r="BE29" i="1"/>
  <c r="BE30" i="1"/>
  <c r="BE31" i="1"/>
  <c r="BE33" i="1"/>
  <c r="BE35" i="1"/>
  <c r="BE37" i="1"/>
  <c r="BE39" i="1"/>
  <c r="BE41" i="1"/>
  <c r="BE43" i="1"/>
  <c r="BE45" i="1"/>
  <c r="BE47" i="1"/>
  <c r="BE49" i="1"/>
  <c r="BE51" i="1"/>
  <c r="BE53" i="1"/>
  <c r="BE55" i="1"/>
  <c r="BE57" i="1"/>
  <c r="BE59" i="1"/>
  <c r="BE61" i="1"/>
  <c r="BE63" i="1"/>
  <c r="BE65" i="1"/>
  <c r="BE67" i="1"/>
  <c r="AZ22" i="1"/>
  <c r="AZ24" i="1"/>
  <c r="AZ26" i="1"/>
  <c r="AZ28" i="1"/>
  <c r="AZ30" i="1"/>
  <c r="AZ32" i="1"/>
  <c r="AZ34" i="1"/>
  <c r="AZ36" i="1"/>
  <c r="AZ38" i="1"/>
  <c r="AZ40" i="1"/>
  <c r="AZ42" i="1"/>
  <c r="AZ44" i="1"/>
  <c r="AZ46" i="1"/>
  <c r="AZ48" i="1"/>
  <c r="AZ50" i="1"/>
  <c r="AZ52" i="1"/>
  <c r="AZ54" i="1"/>
  <c r="AZ56" i="1"/>
  <c r="AZ58" i="1"/>
  <c r="AZ60" i="1"/>
  <c r="AZ62" i="1"/>
  <c r="AZ64" i="1"/>
  <c r="AZ66" i="1"/>
  <c r="AZ68"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O28" i="1"/>
  <c r="AO38" i="1"/>
  <c r="AO42" i="1"/>
  <c r="AO44" i="1"/>
  <c r="AO46" i="1"/>
  <c r="AO48" i="1"/>
  <c r="AO56" i="1"/>
  <c r="AO58" i="1"/>
  <c r="AO64" i="1"/>
  <c r="AO66" i="1"/>
  <c r="AN22" i="1"/>
  <c r="AN24" i="1"/>
  <c r="AN26" i="1"/>
  <c r="AN28" i="1"/>
  <c r="AN30" i="1"/>
  <c r="AN32" i="1"/>
  <c r="AN34" i="1"/>
  <c r="AN36" i="1"/>
  <c r="AN38" i="1"/>
  <c r="AN40" i="1"/>
  <c r="AN42" i="1"/>
  <c r="AN44" i="1"/>
  <c r="AN46" i="1"/>
  <c r="AN48" i="1"/>
  <c r="AN50" i="1"/>
  <c r="AN52" i="1"/>
  <c r="AN54" i="1"/>
  <c r="AN56" i="1"/>
  <c r="AN58" i="1"/>
  <c r="AN60" i="1"/>
  <c r="AN62" i="1"/>
  <c r="AN64" i="1"/>
  <c r="AN66" i="1"/>
  <c r="AN68" i="1"/>
  <c r="Z22" i="1"/>
  <c r="Z24" i="1"/>
  <c r="Z26" i="1"/>
  <c r="Z28" i="1"/>
  <c r="Z30" i="1"/>
  <c r="Z32" i="1"/>
  <c r="Z34" i="1"/>
  <c r="Z36" i="1"/>
  <c r="Z38" i="1"/>
  <c r="Z40" i="1"/>
  <c r="Z42" i="1"/>
  <c r="Z44" i="1"/>
  <c r="Z46" i="1"/>
  <c r="Z48" i="1"/>
  <c r="Z50" i="1"/>
  <c r="Z52" i="1"/>
  <c r="Z54" i="1"/>
  <c r="Z56" i="1"/>
  <c r="Z58" i="1"/>
  <c r="Z60" i="1"/>
  <c r="Z62" i="1"/>
  <c r="Z64" i="1"/>
  <c r="Z66" i="1"/>
  <c r="Z68" i="1"/>
  <c r="D22" i="1"/>
  <c r="D23" i="1" s="1"/>
  <c r="D24" i="1"/>
  <c r="D25" i="1" s="1"/>
  <c r="D26" i="1"/>
  <c r="D27" i="1" s="1"/>
  <c r="D28" i="1"/>
  <c r="D29" i="1" s="1"/>
  <c r="D30" i="1"/>
  <c r="D31" i="1" s="1"/>
  <c r="D32" i="1"/>
  <c r="D33" i="1" s="1"/>
  <c r="D34" i="1"/>
  <c r="D35" i="1" s="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BI69" i="1"/>
  <c r="BG69" i="1"/>
  <c r="BF69" i="1"/>
  <c r="N68" i="1" s="1"/>
  <c r="BE69" i="1"/>
  <c r="AQ69" i="1"/>
  <c r="AM69" i="1"/>
  <c r="D69" i="1"/>
  <c r="AR68" i="1"/>
  <c r="AR69" i="1" s="1"/>
  <c r="Y68" i="1"/>
  <c r="R68" i="1" s="1"/>
  <c r="O68" i="1"/>
  <c r="J68" i="1"/>
  <c r="BI67" i="1"/>
  <c r="BG67" i="1"/>
  <c r="AM67" i="1"/>
  <c r="AR66" i="1"/>
  <c r="AR67" i="1" s="1"/>
  <c r="Y66" i="1"/>
  <c r="R66" i="1" s="1"/>
  <c r="O66" i="1"/>
  <c r="N66" i="1"/>
  <c r="J66" i="1"/>
  <c r="BI65" i="1"/>
  <c r="BG65" i="1"/>
  <c r="AM65" i="1"/>
  <c r="AR64" i="1"/>
  <c r="AR65" i="1" s="1"/>
  <c r="Y64" i="1"/>
  <c r="R64" i="1" s="1"/>
  <c r="O64" i="1"/>
  <c r="N64" i="1"/>
  <c r="J64" i="1"/>
  <c r="BI63" i="1"/>
  <c r="BG63" i="1"/>
  <c r="AM63" i="1"/>
  <c r="AR62" i="1"/>
  <c r="AR63" i="1" s="1"/>
  <c r="Y62" i="1"/>
  <c r="R62" i="1" s="1"/>
  <c r="O62" i="1"/>
  <c r="N62" i="1"/>
  <c r="J62" i="1"/>
  <c r="BI61" i="1"/>
  <c r="BG61" i="1"/>
  <c r="AM61" i="1"/>
  <c r="AR60" i="1"/>
  <c r="AR61" i="1" s="1"/>
  <c r="Y60" i="1"/>
  <c r="R60" i="1" s="1"/>
  <c r="O60" i="1"/>
  <c r="N60" i="1"/>
  <c r="J60" i="1"/>
  <c r="BI59" i="1"/>
  <c r="BG59" i="1"/>
  <c r="AM59" i="1"/>
  <c r="AR58" i="1"/>
  <c r="AR59" i="1" s="1"/>
  <c r="Y58" i="1"/>
  <c r="R58" i="1" s="1"/>
  <c r="O58" i="1"/>
  <c r="N58" i="1"/>
  <c r="J58" i="1"/>
  <c r="BI57" i="1"/>
  <c r="BG57" i="1"/>
  <c r="AM57" i="1"/>
  <c r="AR56" i="1"/>
  <c r="AR57" i="1" s="1"/>
  <c r="Y56" i="1"/>
  <c r="R56" i="1" s="1"/>
  <c r="O56" i="1"/>
  <c r="N56" i="1"/>
  <c r="J56" i="1"/>
  <c r="BI55" i="1"/>
  <c r="BG55" i="1"/>
  <c r="AM55" i="1"/>
  <c r="AR54" i="1"/>
  <c r="AR55" i="1" s="1"/>
  <c r="Y54" i="1"/>
  <c r="R54" i="1" s="1"/>
  <c r="O54" i="1"/>
  <c r="N54" i="1"/>
  <c r="J54" i="1"/>
  <c r="BI53" i="1"/>
  <c r="BG53" i="1"/>
  <c r="AM53" i="1"/>
  <c r="AR52" i="1"/>
  <c r="AR53" i="1" s="1"/>
  <c r="Y52" i="1"/>
  <c r="R52" i="1" s="1"/>
  <c r="O52" i="1"/>
  <c r="N52" i="1"/>
  <c r="J52" i="1"/>
  <c r="BI51" i="1"/>
  <c r="BG51" i="1"/>
  <c r="AM51" i="1"/>
  <c r="AR50" i="1"/>
  <c r="AR51" i="1" s="1"/>
  <c r="Y50" i="1"/>
  <c r="R50" i="1" s="1"/>
  <c r="O50" i="1"/>
  <c r="N50" i="1"/>
  <c r="J50" i="1"/>
  <c r="BI49" i="1"/>
  <c r="BG49" i="1"/>
  <c r="AM49" i="1"/>
  <c r="AR48" i="1"/>
  <c r="AR49" i="1" s="1"/>
  <c r="Y48" i="1"/>
  <c r="R48" i="1" s="1"/>
  <c r="O48" i="1"/>
  <c r="N48" i="1"/>
  <c r="J48" i="1"/>
  <c r="BI47" i="1"/>
  <c r="BG47" i="1"/>
  <c r="AM47" i="1"/>
  <c r="AR46" i="1"/>
  <c r="AR47" i="1" s="1"/>
  <c r="Y46" i="1"/>
  <c r="R46" i="1" s="1"/>
  <c r="O46" i="1"/>
  <c r="N46" i="1"/>
  <c r="J46" i="1"/>
  <c r="BI45" i="1"/>
  <c r="BG45" i="1"/>
  <c r="AM45" i="1"/>
  <c r="AR44" i="1"/>
  <c r="AR45" i="1" s="1"/>
  <c r="Y44" i="1"/>
  <c r="R44" i="1" s="1"/>
  <c r="O44" i="1"/>
  <c r="N44" i="1"/>
  <c r="J44" i="1"/>
  <c r="BI43" i="1"/>
  <c r="BG43" i="1"/>
  <c r="AM43" i="1"/>
  <c r="AR42" i="1"/>
  <c r="AR43" i="1" s="1"/>
  <c r="Y42" i="1"/>
  <c r="R42" i="1" s="1"/>
  <c r="O42" i="1"/>
  <c r="N42" i="1"/>
  <c r="J42" i="1"/>
  <c r="BI41" i="1"/>
  <c r="BG41" i="1"/>
  <c r="AM41" i="1"/>
  <c r="AR40" i="1"/>
  <c r="AR41" i="1" s="1"/>
  <c r="Y40" i="1"/>
  <c r="R40" i="1" s="1"/>
  <c r="O40" i="1"/>
  <c r="N40" i="1"/>
  <c r="J40" i="1"/>
  <c r="BI39" i="1"/>
  <c r="BG39" i="1"/>
  <c r="AM39" i="1"/>
  <c r="AR38" i="1"/>
  <c r="AR39" i="1" s="1"/>
  <c r="Y38" i="1"/>
  <c r="R38" i="1" s="1"/>
  <c r="O38" i="1"/>
  <c r="N38" i="1"/>
  <c r="J38" i="1"/>
  <c r="BI37" i="1"/>
  <c r="BG37" i="1"/>
  <c r="AM37" i="1"/>
  <c r="AR36" i="1"/>
  <c r="AR37" i="1" s="1"/>
  <c r="Y36" i="1"/>
  <c r="R36" i="1" s="1"/>
  <c r="O36" i="1"/>
  <c r="N36" i="1"/>
  <c r="J36" i="1"/>
  <c r="BI35" i="1"/>
  <c r="BG35" i="1"/>
  <c r="AM35" i="1"/>
  <c r="AR34" i="1"/>
  <c r="AR35" i="1" s="1"/>
  <c r="Y34" i="1"/>
  <c r="R34" i="1" s="1"/>
  <c r="O34" i="1"/>
  <c r="N34" i="1"/>
  <c r="J34" i="1"/>
  <c r="BI33" i="1"/>
  <c r="BG33" i="1"/>
  <c r="AM33" i="1"/>
  <c r="AR32" i="1"/>
  <c r="AR33" i="1" s="1"/>
  <c r="Y32" i="1"/>
  <c r="R32" i="1" s="1"/>
  <c r="O32" i="1"/>
  <c r="N32" i="1"/>
  <c r="J32" i="1"/>
  <c r="BI31" i="1"/>
  <c r="BG31" i="1"/>
  <c r="AM31" i="1"/>
  <c r="AR30" i="1"/>
  <c r="AR31" i="1" s="1"/>
  <c r="Y30" i="1"/>
  <c r="R30" i="1" s="1"/>
  <c r="O30" i="1"/>
  <c r="N30" i="1"/>
  <c r="J30" i="1"/>
  <c r="BI29" i="1"/>
  <c r="BG29" i="1"/>
  <c r="AM29" i="1"/>
  <c r="AR28" i="1"/>
  <c r="AR29" i="1" s="1"/>
  <c r="Y28" i="1"/>
  <c r="R28" i="1" s="1"/>
  <c r="O28" i="1"/>
  <c r="N28" i="1"/>
  <c r="J28" i="1"/>
  <c r="BI27" i="1"/>
  <c r="BG27" i="1"/>
  <c r="AM27" i="1"/>
  <c r="AR26" i="1"/>
  <c r="AR27" i="1" s="1"/>
  <c r="Y26" i="1"/>
  <c r="R26" i="1" s="1"/>
  <c r="O26" i="1"/>
  <c r="N26" i="1"/>
  <c r="J26" i="1"/>
  <c r="BI25" i="1"/>
  <c r="BG25" i="1"/>
  <c r="AM25" i="1"/>
  <c r="AR24" i="1"/>
  <c r="AR25" i="1" s="1"/>
  <c r="Y24" i="1"/>
  <c r="R24" i="1"/>
  <c r="O24" i="1"/>
  <c r="N24" i="1"/>
  <c r="J24" i="1"/>
  <c r="AD24" i="1" l="1"/>
  <c r="BB29" i="1"/>
  <c r="BB25" i="1"/>
  <c r="BB27" i="1"/>
  <c r="BB31" i="1"/>
  <c r="AD26" i="1"/>
  <c r="BB33" i="1"/>
  <c r="BB35" i="1"/>
  <c r="BB37" i="1"/>
  <c r="BB39" i="1"/>
  <c r="BB41" i="1"/>
  <c r="BB43" i="1"/>
  <c r="BB47" i="1"/>
  <c r="BB51" i="1"/>
  <c r="BB55" i="1"/>
  <c r="BB59" i="1"/>
  <c r="BB63" i="1"/>
  <c r="AD28" i="1"/>
  <c r="AD30" i="1"/>
  <c r="AD32" i="1"/>
  <c r="AD34" i="1"/>
  <c r="AD36" i="1"/>
  <c r="AD38" i="1"/>
  <c r="AD40" i="1"/>
  <c r="AD42" i="1"/>
  <c r="BB45" i="1"/>
  <c r="BB49" i="1"/>
  <c r="BB53" i="1"/>
  <c r="BB57" i="1"/>
  <c r="BB61" i="1"/>
  <c r="AD44" i="1"/>
  <c r="AD46" i="1"/>
  <c r="AD48" i="1"/>
  <c r="AD50" i="1"/>
  <c r="AD52" i="1"/>
  <c r="AD54" i="1"/>
  <c r="AD56" i="1"/>
  <c r="AD58" i="1"/>
  <c r="AD60" i="1"/>
  <c r="AD62" i="1"/>
  <c r="AD64" i="1"/>
  <c r="AD66" i="1"/>
  <c r="AD68" i="1"/>
  <c r="BB65" i="1"/>
  <c r="BB67" i="1"/>
  <c r="BB69" i="1"/>
  <c r="AD22" i="1"/>
  <c r="AZ67" i="1" l="1"/>
  <c r="P66" i="1"/>
  <c r="AZ61" i="1"/>
  <c r="P60" i="1"/>
  <c r="AZ57" i="1"/>
  <c r="P56" i="1"/>
  <c r="AZ53" i="1"/>
  <c r="P52" i="1"/>
  <c r="AZ49" i="1"/>
  <c r="P48" i="1"/>
  <c r="AZ45" i="1"/>
  <c r="P44" i="1"/>
  <c r="AZ29" i="1"/>
  <c r="P28" i="1"/>
  <c r="P68" i="1"/>
  <c r="AZ69" i="1"/>
  <c r="AZ65" i="1"/>
  <c r="P64" i="1"/>
  <c r="AZ63" i="1"/>
  <c r="P62" i="1"/>
  <c r="AZ59" i="1"/>
  <c r="P58" i="1"/>
  <c r="AZ55" i="1"/>
  <c r="P54" i="1"/>
  <c r="AZ51" i="1"/>
  <c r="P50" i="1"/>
  <c r="AZ47" i="1"/>
  <c r="P46" i="1"/>
  <c r="AZ43" i="1"/>
  <c r="P42" i="1"/>
  <c r="AZ41" i="1"/>
  <c r="P40" i="1"/>
  <c r="AZ39" i="1"/>
  <c r="P38" i="1"/>
  <c r="AZ37" i="1"/>
  <c r="P36" i="1"/>
  <c r="AZ35" i="1"/>
  <c r="P34" i="1"/>
  <c r="AZ33" i="1"/>
  <c r="P32" i="1"/>
  <c r="AZ31" i="1"/>
  <c r="P30" i="1"/>
  <c r="AZ27" i="1"/>
  <c r="P26" i="1"/>
  <c r="AZ25" i="1"/>
  <c r="P24" i="1"/>
  <c r="AM23" i="1"/>
  <c r="C9" i="1"/>
  <c r="E14" i="1"/>
  <c r="E15" i="1"/>
  <c r="D12" i="16"/>
  <c r="J9" i="16"/>
  <c r="G13" i="16" s="1"/>
  <c r="H13" i="16" l="1"/>
  <c r="J10" i="16"/>
  <c r="J8" i="16"/>
  <c r="G8" i="16"/>
  <c r="I14" i="16" l="1"/>
  <c r="J14" i="16" s="1"/>
  <c r="I13" i="16"/>
  <c r="J13" i="16" s="1"/>
  <c r="K13" i="16" s="1"/>
  <c r="G9" i="16"/>
  <c r="BB23" i="1" l="1"/>
  <c r="Y22" i="1"/>
  <c r="BG23" i="1"/>
  <c r="BI23" i="1"/>
  <c r="N22" i="1"/>
  <c r="O22" i="1"/>
  <c r="J22" i="1"/>
  <c r="R22" i="1"/>
  <c r="AR22" i="1"/>
  <c r="AR23" i="1" s="1"/>
  <c r="K14" i="16"/>
  <c r="F5" i="16" s="1"/>
  <c r="G10" i="16"/>
  <c r="AZ23" i="1" l="1"/>
  <c r="P22" i="1"/>
  <c r="E16" i="1"/>
  <c r="G11" i="16"/>
  <c r="G15" i="16"/>
  <c r="G14" i="16" s="1"/>
  <c r="H14" i="16"/>
  <c r="F17" i="16"/>
  <c r="G17" i="16"/>
  <c r="F19" i="16"/>
  <c r="G19" i="16"/>
  <c r="G22" i="16"/>
  <c r="D26" i="16"/>
  <c r="G26" i="16"/>
  <c r="D27" i="16"/>
  <c r="G27" i="16"/>
  <c r="D28" i="16"/>
  <c r="G28" i="16"/>
  <c r="D29" i="16"/>
  <c r="G29" i="16"/>
  <c r="D30" i="16"/>
  <c r="G30" i="16"/>
  <c r="G31" i="16"/>
  <c r="D32" i="16"/>
  <c r="G32" i="16"/>
  <c r="D33" i="16"/>
  <c r="G33" i="16"/>
  <c r="G34" i="16" s="1"/>
  <c r="G35" i="16"/>
  <c r="G37" i="16"/>
  <c r="D38" i="16"/>
  <c r="G38" i="16"/>
  <c r="G36" i="16" l="1"/>
</calcChain>
</file>

<file path=xl/sharedStrings.xml><?xml version="1.0" encoding="utf-8"?>
<sst xmlns="http://schemas.openxmlformats.org/spreadsheetml/2006/main" count="2715" uniqueCount="1386">
  <si>
    <t>HIDE</t>
  </si>
  <si>
    <t>Account No</t>
  </si>
  <si>
    <t>Min Duration</t>
  </si>
  <si>
    <t>Record key</t>
  </si>
  <si>
    <t>Date</t>
  </si>
  <si>
    <t>Time</t>
  </si>
  <si>
    <t>Dur</t>
  </si>
  <si>
    <t>Ad Source</t>
  </si>
  <si>
    <t>Caller #</t>
  </si>
  <si>
    <t>Appt Time</t>
  </si>
  <si>
    <t>Dept</t>
  </si>
  <si>
    <t>Elevation</t>
  </si>
  <si>
    <t>hide</t>
  </si>
  <si>
    <t>Date Range (MTD)</t>
  </si>
  <si>
    <t>URL</t>
  </si>
  <si>
    <t>Hyperlink</t>
  </si>
  <si>
    <t>Caller Name</t>
  </si>
  <si>
    <t>SQL sort statement</t>
  </si>
  <si>
    <t>Event_BeginTime</t>
  </si>
  <si>
    <t>Event_CallDuration</t>
  </si>
  <si>
    <t>Event_SourceName</t>
  </si>
  <si>
    <t>Event_CallerName</t>
  </si>
  <si>
    <t>Event_CallerPhoneNumber</t>
  </si>
  <si>
    <t>Event_Operator</t>
  </si>
  <si>
    <t>Event_Received</t>
  </si>
  <si>
    <t>Event_AppointmentTime</t>
  </si>
  <si>
    <t>Event_Purpose</t>
  </si>
  <si>
    <t>Event_Notes</t>
  </si>
  <si>
    <t>Event_Notes2</t>
  </si>
  <si>
    <t>Event_CallRecordingURL</t>
  </si>
  <si>
    <t>Account_Id</t>
  </si>
  <si>
    <t>Unique Account_id</t>
  </si>
  <si>
    <t>Caller # count</t>
  </si>
  <si>
    <t>Filter all event id's</t>
  </si>
  <si>
    <t>2nd event id</t>
  </si>
  <si>
    <t>1st event id</t>
  </si>
  <si>
    <t>3rd event id</t>
  </si>
  <si>
    <t>4th event id</t>
  </si>
  <si>
    <t>5th event id</t>
  </si>
  <si>
    <t>6th event id</t>
  </si>
  <si>
    <t>fit</t>
  </si>
  <si>
    <t>Call Summary:</t>
  </si>
  <si>
    <t>Dealer Response:</t>
  </si>
  <si>
    <t>Agent 1</t>
  </si>
  <si>
    <t>Agent 2</t>
  </si>
  <si>
    <t>Alert_Id</t>
  </si>
  <si>
    <t>Event_AlertSent</t>
  </si>
  <si>
    <t>Alerts.Alert_Name</t>
  </si>
  <si>
    <t>Event_AlertClosed</t>
  </si>
  <si>
    <t>EventVehicleData_CurrentCarSummary</t>
  </si>
  <si>
    <t>EventVehicleData_InterestedCarSummary</t>
  </si>
  <si>
    <t>Account_CustomALabel</t>
  </si>
  <si>
    <t>Event_AccountCustomA</t>
  </si>
  <si>
    <t>Account_CustomBLabel</t>
  </si>
  <si>
    <t>Event_AccountCustomB</t>
  </si>
  <si>
    <t>Sales Appt Opp</t>
  </si>
  <si>
    <t>SQL=SELECT  DATEPART(mm, Event_BeginTime) AS MonthPart, DATEPART(dd, Event_BeginTime) AS DayPart, DATEPART(yy, Event_BeginTime) AS YearPart, Event_Id from Events WHERE %Filter1% ORDER BY Event_Received, Event_Purpose</t>
  </si>
  <si>
    <t>Vehicle of Interest</t>
  </si>
  <si>
    <t>These Callers have been identified as callers UNAPPOINTED on their inbound call attempt.</t>
  </si>
  <si>
    <t>You may elect to check in your CRM to be sure they have not yet set an appointment prior to contacting them.</t>
  </si>
  <si>
    <t>Current Vehicle</t>
  </si>
  <si>
    <t>Alert Status</t>
  </si>
  <si>
    <t>Title</t>
  </si>
  <si>
    <t>value</t>
  </si>
  <si>
    <t>Lookup</t>
  </si>
  <si>
    <t>actual value passed to reports</t>
  </si>
  <si>
    <t>Named ranges: Viewer Options or passed from task or batch="N", sent to other sheets ="P", output to task ="o"</t>
  </si>
  <si>
    <t>frriendly time message</t>
  </si>
  <si>
    <t>actual datefilter</t>
  </si>
  <si>
    <t>option</t>
  </si>
  <si>
    <t xml:space="preserve">Internal or Client Version </t>
  </si>
  <si>
    <t>Dealer Group</t>
  </si>
  <si>
    <t>beg of month</t>
  </si>
  <si>
    <t>Parent Account</t>
  </si>
  <si>
    <t>today</t>
  </si>
  <si>
    <t>The accounts included by number</t>
  </si>
  <si>
    <t>end filter</t>
  </si>
  <si>
    <t>The accounts included by id</t>
  </si>
  <si>
    <t>time period</t>
  </si>
  <si>
    <t>custom</t>
  </si>
  <si>
    <t>monthly</t>
  </si>
  <si>
    <t>mtd</t>
  </si>
  <si>
    <t>to use</t>
  </si>
  <si>
    <t>reader friendly</t>
  </si>
  <si>
    <t>last date included, defaults to today. Format MM/DD/YYYY</t>
  </si>
  <si>
    <t>last incl</t>
  </si>
  <si>
    <t>Start date. Format MM/DD/YYYY  OR select:</t>
  </si>
  <si>
    <t>first incl</t>
  </si>
  <si>
    <t>...number of days back from end date-Defaults to single day.</t>
  </si>
  <si>
    <t>Search Field</t>
  </si>
  <si>
    <t>SearchCriteria1</t>
  </si>
  <si>
    <t>(string to search)</t>
  </si>
  <si>
    <t>Search Field2</t>
  </si>
  <si>
    <t>SearchCriteria2</t>
  </si>
  <si>
    <t>Option</t>
  </si>
  <si>
    <t>email distribution</t>
  </si>
  <si>
    <t>Limit Rows</t>
  </si>
  <si>
    <t>Show Journey below each line?</t>
  </si>
  <si>
    <t>Department</t>
  </si>
  <si>
    <t>Appt? (Y/N)Broken lv blank</t>
  </si>
  <si>
    <t>Call duration range in seconds: xx..yy</t>
  </si>
  <si>
    <t>All-Star Special: Y or N…
Filter calls where we transcribed agent2 other than z-, caller first and last names, and a phone different than reverse lookup</t>
  </si>
  <si>
    <t>agent transcribed</t>
  </si>
  <si>
    <t>*-*BDC</t>
  </si>
  <si>
    <t>&lt;&gt;*z-*</t>
  </si>
  <si>
    <t>different number transcribed</t>
  </si>
  <si>
    <t>&lt;&gt;event_callerphonenumber</t>
  </si>
  <si>
    <t>first transcribed</t>
  </si>
  <si>
    <t>&lt;&gt;""</t>
  </si>
  <si>
    <t>last transcribed</t>
  </si>
  <si>
    <t xml:space="preserve">filter of parents </t>
  </si>
  <si>
    <t>Template for robustly Viewer configurable reports.</t>
  </si>
  <si>
    <t>Steve Chisholm</t>
  </si>
  <si>
    <t>date selection</t>
  </si>
  <si>
    <t>passed</t>
  </si>
  <si>
    <t>account selection</t>
  </si>
  <si>
    <t>string selection</t>
  </si>
  <si>
    <t>changes 10/18</t>
  </si>
  <si>
    <t>group filter to utilize changes there</t>
  </si>
  <si>
    <t>changed dates to make pretty date range</t>
  </si>
  <si>
    <t>NAMED CELLS</t>
  </si>
  <si>
    <t>added transcribed event filtering template to report sheet</t>
  </si>
  <si>
    <t>revamped named ranges for better batch interaction</t>
  </si>
  <si>
    <t>added lastedateN name</t>
  </si>
  <si>
    <t>added pastable optoins tab</t>
  </si>
  <si>
    <t>added reference tab, with time of day</t>
  </si>
  <si>
    <t>added internal or client lookup selector\</t>
  </si>
  <si>
    <t>and named cell</t>
  </si>
  <si>
    <t>fixed parent filter</t>
  </si>
  <si>
    <t>fixed some optionsP formulas</t>
  </si>
  <si>
    <t>Refreshed options to paste screen</t>
  </si>
  <si>
    <t>added email O named output field for tasks</t>
  </si>
  <si>
    <t>added datasource checker for Yukon/everywhere else</t>
  </si>
  <si>
    <t>�</t>
  </si>
  <si>
    <t>="Time Period Reported:  "&amp;$K$14&amp;IF($J$13=$J$14,""," Through "&amp;$K$13)</t>
  </si>
  <si>
    <t>= NP("datefilter", $J$14,$J$10)</t>
  </si>
  <si>
    <t>=NL("lookup",{"Int","Client"},,"headers=","Internal full version or client simple version")</t>
  </si>
  <si>
    <t>=NL("Lookup","groups",{"group_id","group_name"},"group_id","&gt;516","headers=",{"Group ID","Group Name"},"+Group_Name","*")</t>
  </si>
  <si>
    <t>=IF($D8="", "*",$D8)</t>
  </si>
  <si>
    <t>=DATE(YEAR($J$9),MONTH($J$9),1)</t>
  </si>
  <si>
    <t>=NL("lookup","Accounts",{"Account_number","account_companyname"},"Account_Number",$D$40,"headers=",{"Parent Account Number","Parent Account Name"},"+Account_CompanyName","*")</t>
  </si>
  <si>
    <t>=IF($D$9="", 100200958,$D$9)</t>
  </si>
  <si>
    <t>=TODAY()</t>
  </si>
  <si>
    <t>214710</t>
  </si>
  <si>
    <t>=NL("Lookup","Accounts",{"Account_Number","account_companyname"},"Account_ParentNumber",$G$9,"headers=",{"Account Number","Account Name"},"+Account_CompanyName","*")</t>
  </si>
  <si>
    <t>=IF($D10="", "*",$D10)</t>
  </si>
  <si>
    <t>=$G$13+1</t>
  </si>
  <si>
    <t>=NL("Lookup","Accounts",{"Account_id","account_companyname"},"Account_ParentNumber",$G$9,"headers=",{"Account ID","Account Name"},"+Account_CompanyName","*")</t>
  </si>
  <si>
    <t>=IF($D11="", "*",$D11)</t>
  </si>
  <si>
    <t>="MTD"</t>
  </si>
  <si>
    <t>=NL("lookup",{"MTD","Monthly","Custom"},,"headers=","Time Period For Run")</t>
  </si>
  <si>
    <t>=IF(OR(TimePeriodN="MTD",LastdateN=""), $J$9, LastdateN)</t>
  </si>
  <si>
    <t>=DATE(YEAR($G$13),MONTH($G$13),0)</t>
  </si>
  <si>
    <t>=IF($H$13+1=$J$9,H13,$G$13)</t>
  </si>
  <si>
    <t>=IF(TimePeriodN=H$12,H13,IF(TimePeriodN=I$12,I13,G13))</t>
  </si>
  <si>
    <t>=TEXT($J$13,"mmm dd yyyy")</t>
  </si>
  <si>
    <t>=IF(StartdateN="",$J$10-$G$15, $D$14)</t>
  </si>
  <si>
    <t>=DATE(YEAR($G$13),MONTH($G$13)-1,1)</t>
  </si>
  <si>
    <t>=IF($H$13+1=$J$9,H14,$J$8)</t>
  </si>
  <si>
    <t>=IF(TimePeriodN=H$12,H14,IF(TimePeriodN=I$12,I14,G14))</t>
  </si>
  <si>
    <t>=TEXT($J$14,"mmm dd")</t>
  </si>
  <si>
    <t>=IF(DatespreadN="", 1, DatespreadN)</t>
  </si>
  <si>
    <t>=NL("lookup",{"Event_Notes","Event_CallerName","event_notes2"},,"headers=","Field Name")</t>
  </si>
  <si>
    <t>="*"&amp;D17&amp;"*"</t>
  </si>
  <si>
    <t>="*"&amp;E17&amp;"*"</t>
  </si>
  <si>
    <t>="*"&amp;D19&amp;"*"</t>
  </si>
  <si>
    <t>="*"&amp;E19&amp;"*"</t>
  </si>
  <si>
    <t>=IF(D22="", 2000,D22)</t>
  </si>
  <si>
    <t>="N"</t>
  </si>
  <si>
    <t>=NL("lookup",{"Y","N"},,"headers=","Show Journey?")</t>
  </si>
  <si>
    <t>=IF("Y"=D26,3,1)</t>
  </si>
  <si>
    <t>=""</t>
  </si>
  <si>
    <t>=IF(ISERROR(FIND("_",D27,4)),"event_notes",D27)</t>
  </si>
  <si>
    <t>="*"&amp;D28&amp;"*"</t>
  </si>
  <si>
    <t>="''|Finance|Lease|New|Used"</t>
  </si>
  <si>
    <t>=NL("lookup","Events","Event_purpose","headers=","Department","Event_BeginTime",$G$5)</t>
  </si>
  <si>
    <t>=IF($D29="", "*",$D29)</t>
  </si>
  <si>
    <t>="O|S"</t>
  </si>
  <si>
    <t>=NL("lookup","Events",{"Event_MarkCode","event_mark"},"headers=","Elevation","Event_BeginTime",$G$5)</t>
  </si>
  <si>
    <t>=IF($D30="", "*",$D30)</t>
  </si>
  <si>
    <t>=NL("lookup",{"Y","N","Both"},,"headers=","With Appointment?")</t>
  </si>
  <si>
    <t>=IF($D31="Y","&lt;&gt;",IF($D31="N","=","*"))</t>
  </si>
  <si>
    <t>=NL("lookup",{"Event_Notes","Event_CallerName"},,"headers=","Field Name")</t>
  </si>
  <si>
    <t>=IF($D32="", "*",$D32)</t>
  </si>
  <si>
    <t>="n"</t>
  </si>
  <si>
    <t>=NL("lookup",{"Y","N"},,"headers=","All-Star Special?")</t>
  </si>
  <si>
    <t>=IF($D33="", "N",$D33)</t>
  </si>
  <si>
    <t>=IF($G$33="Y", $I34,"*")</t>
  </si>
  <si>
    <t>=IF($G$33="Y", $I35,"*")</t>
  </si>
  <si>
    <t>=IF($G$33="Y", $I36,"*")</t>
  </si>
  <si>
    <t>=IF($G$33="Y", $I37,"*")</t>
  </si>
  <si>
    <t>=IF(D38="", 2000,D38)</t>
  </si>
  <si>
    <t>=NL("Filter","Accounts","Account_ParentNumber","account_parentnumber","&lt;&gt;111111111")</t>
  </si>
  <si>
    <t>=nf(,"account_number")</t>
  </si>
  <si>
    <t>41229</t>
  </si>
  <si>
    <t>41261</t>
  </si>
  <si>
    <t>41278</t>
  </si>
  <si>
    <t>41291</t>
  </si>
  <si>
    <t>41480</t>
  </si>
  <si>
    <t>41631</t>
  </si>
  <si>
    <t>41925</t>
  </si>
  <si>
    <t>Auto+Hide+Lock+hidesheet+Formulas=Sheet1,Sheet2+FormulasOnly</t>
  </si>
  <si>
    <t>=NP("eval","datefilterp")</t>
  </si>
  <si>
    <t>=NP("eval","timedescp")</t>
  </si>
  <si>
    <t>=NP("Eval","accountnump")</t>
  </si>
  <si>
    <t>0</t>
  </si>
  <si>
    <t>="Calls Marked with 'Sales Appt Opportunity"</t>
  </si>
  <si>
    <t>=C5</t>
  </si>
  <si>
    <t>=NL("first","Surveys","Survey_Question","Survey_OrderBy",#REF!)</t>
  </si>
  <si>
    <t>=NL("rows=2",$C$11,"Event_Id","1S=Account_Id",$C$9,"1D=Event_BeginTime",$C$4,"1S=Event_Disposition","Reviewed|Approved","1N=Event_CallDuration","&gt;"&amp;$C$10,"1S=Event_MarkCode","O","1N=Event_DNT","''|0")</t>
  </si>
  <si>
    <t>=NL("First","Events",,"Event_Id",$C22)</t>
  </si>
  <si>
    <t>=IF($C22="","",nf($D22,"Event_BeginTime"))</t>
  </si>
  <si>
    <t>=IF($C22="","",nf($D22,"Event_BeginTime")+AD22)</t>
  </si>
  <si>
    <t>=IF($C22="","",nf($D22,"Event_CallDuration")/60)</t>
  </si>
  <si>
    <t>=IF($C22="","",nf($D22,"Event_SourceName"))</t>
  </si>
  <si>
    <t>=IF($C22="","",nf($D22,"Event_CallerName2"))</t>
  </si>
  <si>
    <t>=IF($C22="","",IF(AO22="",AN22,AN22&amp;" "&amp;AO22))</t>
  </si>
  <si>
    <t>=IF($C22="","",nf($D22,"Event_Operator"))</t>
  </si>
  <si>
    <t>=IF($C22="","",nf($D22,"Event_Received"))</t>
  </si>
  <si>
    <t>=IF($C22="","",nf($D22,"Event_Purpose"))</t>
  </si>
  <si>
    <t>=BF23</t>
  </si>
  <si>
    <t>=BE23</t>
  </si>
  <si>
    <t>=BB23</t>
  </si>
  <si>
    <t>=IF($C22="","",IF($Y22="","",HYPERLINK($Y22,"(")))</t>
  </si>
  <si>
    <t>=IF($Z22="","",IF(LEFT($Z22,4)="http",$Z22,"http://"&amp;$Z22))</t>
  </si>
  <si>
    <t>=nf($D22,"Event_CallRecordingURL")</t>
  </si>
  <si>
    <t>=NL("First","Accounts","Account_TimeZone","Account_Number",$C$7)</t>
  </si>
  <si>
    <t>=IF(AC22="ET",0.04166667,IF(AC22="MT",-0.04166667,IF(AC22="PT",-0.08333333,0)))</t>
  </si>
  <si>
    <t>=nf($D22,"Event_CallerPhoneNumber")</t>
  </si>
  <si>
    <t>=nf($D22,"Event_CallerPhone2")</t>
  </si>
  <si>
    <t>=nf($D22,"Event_AlertSent")</t>
  </si>
  <si>
    <t>=nf($D22,"Event_CallerName")</t>
  </si>
  <si>
    <t>=C22</t>
  </si>
  <si>
    <t>=nf($D22,AZ$21)</t>
  </si>
  <si>
    <t>=nf($D22,BA$21)</t>
  </si>
  <si>
    <t>=nf($D22,BB$21)</t>
  </si>
  <si>
    <t>=IF(BA22="","",NL("First","Alerts","Alert_Name","Alert_Id",BA22))</t>
  </si>
  <si>
    <t>=nf($D22,BD$21)</t>
  </si>
  <si>
    <t>=NL("First","EventVehicleData",BE$21,"Event_Id",$C22)</t>
  </si>
  <si>
    <t>=NL("First","EventVehicleData",BF$21,"Event_Id",$C22)</t>
  </si>
  <si>
    <t>=NL("First","Accounts",BG$21,"Account_Number",$C$7)</t>
  </si>
  <si>
    <t>=nf($D22,BH$21)</t>
  </si>
  <si>
    <t>=NL("First","Accounts",BI$21,"Account_Number",$C$7)</t>
  </si>
  <si>
    <t>=nf($D22,BJ$21)</t>
  </si>
  <si>
    <t>=D22</t>
  </si>
  <si>
    <t>=IF($C22="","","Call Note: "&amp;IFERROR(AF23,nf($D23,"Event_Notes"))&amp;AQ23&amp;AM23&amp;AZ23)</t>
  </si>
  <si>
    <t>=NL("First","CLASSIFICATION","value","schema=","machine","primary","1","interactiontypeid","1","ClassificationTypeID","9","InteractionID",AR23)</t>
  </si>
  <si>
    <t>=IF(AM22="","","  [Dealer Response: "&amp;AM22&amp;"] ")</t>
  </si>
  <si>
    <t>=IF(AQ22="","","  [Reverse Lookup Name: "&amp;AQ22&amp;"] ")</t>
  </si>
  <si>
    <t>=""&amp;AR22</t>
  </si>
  <si>
    <t>=BB23&amp;BE23&amp;"  "&amp;BG23&amp;"  "&amp;BI23</t>
  </si>
  <si>
    <t>=IF(BD22=1,"Closed Alert: "&amp;BC22,IF(BC22="","", "Open Alert: "&amp;BC22))</t>
  </si>
  <si>
    <t>=IF(BE22="","",BE22)</t>
  </si>
  <si>
    <t>=IF(BF22="","",BF22)</t>
  </si>
  <si>
    <t>=IF(BH22="","","  ["&amp;BG22&amp;": "&amp;BH22&amp;"]")</t>
  </si>
  <si>
    <t>=IF(BJ22="","","  ["&amp;BI22&amp;": "&amp;BJ22&amp;"]")</t>
  </si>
  <si>
    <t>Auto+Hide+Values+Formulas=Sheet3,Sheet4+FormulasOnly</t>
  </si>
  <si>
    <t>Auto</t>
  </si>
  <si>
    <t>Auto+Hide+Lock+hidesheet+Formulas=Sheet5,Sheet1,Sheet2</t>
  </si>
  <si>
    <t>Auto+Hide+Lock+hidesheet+Formulas=Sheet5,Sheet1,Sheet2+FormulasOnly</t>
  </si>
  <si>
    <t>Auto+Hide+Values+Formulas=Sheet6,Sheet3,Sheet4</t>
  </si>
  <si>
    <t>409322137</t>
  </si>
  <si>
    <t>=IF($C24="","",nf($D24,"Event_BeginTime"))</t>
  </si>
  <si>
    <t>=IF($C24="","",nf($D24,"Event_BeginTime")+AD24)</t>
  </si>
  <si>
    <t>=IF($C24="","",nf($D24,"Event_CallDuration")/60)</t>
  </si>
  <si>
    <t>=IF($C24="","",nf($D24,"Event_SourceName"))</t>
  </si>
  <si>
    <t>=IF($C24="","",nf($D24,"Event_CallerName2"))</t>
  </si>
  <si>
    <t>=IF($C24="","",IF(AO24="",AN24,AN24&amp;" "&amp;AO24))</t>
  </si>
  <si>
    <t>=IF($C24="","",nf($D24,"Event_Operator"))</t>
  </si>
  <si>
    <t>=IF($C24="","",nf($D24,"Event_Received"))</t>
  </si>
  <si>
    <t>=IF($C24="","",nf($D24,"Event_Purpose"))</t>
  </si>
  <si>
    <t>=BF25</t>
  </si>
  <si>
    <t>=BE25</t>
  </si>
  <si>
    <t>=BB25</t>
  </si>
  <si>
    <t>=IF($C24="","",IF($Y24="","",HYPERLINK($Y24,"(")))</t>
  </si>
  <si>
    <t>=IF($Z24="","",IF(LEFT($Z24,4)="http",$Z24,"http://"&amp;$Z24))</t>
  </si>
  <si>
    <t>=IF(AC24="ET",0.04166667,IF(AC24="MT",-0.04166667,IF(AC24="PT",-0.08333333,0)))</t>
  </si>
  <si>
    <t>=C24</t>
  </si>
  <si>
    <t>=IF(BA24="","",NL("First","Alerts","Alert_Name","Alert_Id",BA24))</t>
  </si>
  <si>
    <t>=D24</t>
  </si>
  <si>
    <t>=IF($C24="","","Call Note: "&amp;IFERROR(AF25,nf($D25,"Event_Notes"))&amp;AQ25&amp;AM25&amp;AZ25)</t>
  </si>
  <si>
    <t>=NL("First","CLASSIFICATION","value","schema=","machine","primary","1","interactiontypeid","1","ClassificationTypeID","9","InteractionID",AR25)</t>
  </si>
  <si>
    <t>=IF(AM24="","","  [Dealer Response: "&amp;AM24&amp;"] ")</t>
  </si>
  <si>
    <t>=IF(AQ24="","","  [Reverse Lookup Name: "&amp;AQ24&amp;"] ")</t>
  </si>
  <si>
    <t>=""&amp;AR24</t>
  </si>
  <si>
    <t>=BB25&amp;BE25&amp;"  "&amp;BG25&amp;"  "&amp;BI25</t>
  </si>
  <si>
    <t>=IF(BD24=1,"Closed Alert: "&amp;BC24,IF(BC24="","", "Open Alert: "&amp;BC24))</t>
  </si>
  <si>
    <t>=IF(BE24="","",BE24)</t>
  </si>
  <si>
    <t>=IF(BF24="","",BF24)</t>
  </si>
  <si>
    <t>=IF(BH24="","","  ["&amp;BG24&amp;": "&amp;BH24&amp;"]")</t>
  </si>
  <si>
    <t>=IF(BJ24="","","  ["&amp;BI24&amp;": "&amp;BJ24&amp;"]")</t>
  </si>
  <si>
    <t>408073494</t>
  </si>
  <si>
    <t>=IF($C26="","",nf($D26,"Event_BeginTime"))</t>
  </si>
  <si>
    <t>=IF($C26="","",nf($D26,"Event_BeginTime")+AD26)</t>
  </si>
  <si>
    <t>=IF($C26="","",nf($D26,"Event_CallDuration")/60)</t>
  </si>
  <si>
    <t>=IF($C26="","",nf($D26,"Event_SourceName"))</t>
  </si>
  <si>
    <t>=IF($C26="","",nf($D26,"Event_CallerName2"))</t>
  </si>
  <si>
    <t>=IF($C26="","",IF(AO26="",AN26,AN26&amp;" "&amp;AO26))</t>
  </si>
  <si>
    <t>=IF($C26="","",nf($D26,"Event_Operator"))</t>
  </si>
  <si>
    <t>=IF($C26="","",nf($D26,"Event_Received"))</t>
  </si>
  <si>
    <t>=IF($C26="","",nf($D26,"Event_Purpose"))</t>
  </si>
  <si>
    <t>=BF27</t>
  </si>
  <si>
    <t>=BE27</t>
  </si>
  <si>
    <t>=BB27</t>
  </si>
  <si>
    <t>=IF($C26="","",IF($Y26="","",HYPERLINK($Y26,"(")))</t>
  </si>
  <si>
    <t>=IF($Z26="","",IF(LEFT($Z26,4)="http",$Z26,"http://"&amp;$Z26))</t>
  </si>
  <si>
    <t>=IF(AC26="ET",0.04166667,IF(AC26="MT",-0.04166667,IF(AC26="PT",-0.08333333,0)))</t>
  </si>
  <si>
    <t>=C26</t>
  </si>
  <si>
    <t>=IF(BA26="","",NL("First","Alerts","Alert_Name","Alert_Id",BA26))</t>
  </si>
  <si>
    <t>=D26</t>
  </si>
  <si>
    <t>=IF($C26="","","Call Note: "&amp;IFERROR(AF27,nf($D27,"Event_Notes"))&amp;AQ27&amp;AM27&amp;AZ27)</t>
  </si>
  <si>
    <t>=NL("First","CLASSIFICATION","value","schema=","machine","primary","1","interactiontypeid","1","ClassificationTypeID","9","InteractionID",AR27)</t>
  </si>
  <si>
    <t>=IF(AM26="","","  [Dealer Response: "&amp;AM26&amp;"] ")</t>
  </si>
  <si>
    <t>=IF(AQ26="","","  [Reverse Lookup Name: "&amp;AQ26&amp;"] ")</t>
  </si>
  <si>
    <t>=""&amp;AR26</t>
  </si>
  <si>
    <t>=BB27&amp;BE27&amp;"  "&amp;BG27&amp;"  "&amp;BI27</t>
  </si>
  <si>
    <t>=IF(BD26=1,"Closed Alert: "&amp;BC26,IF(BC26="","", "Open Alert: "&amp;BC26))</t>
  </si>
  <si>
    <t>=IF(BE26="","",BE26)</t>
  </si>
  <si>
    <t>=IF(BF26="","",BF26)</t>
  </si>
  <si>
    <t>=IF(BH26="","","  ["&amp;BG26&amp;": "&amp;BH26&amp;"]")</t>
  </si>
  <si>
    <t>=IF(BJ26="","","  ["&amp;BI26&amp;": "&amp;BJ26&amp;"]")</t>
  </si>
  <si>
    <t>406277609</t>
  </si>
  <si>
    <t>=IF($C28="","",nf($D28,"Event_BeginTime"))</t>
  </si>
  <si>
    <t>=IF($C28="","",nf($D28,"Event_BeginTime")+AD28)</t>
  </si>
  <si>
    <t>=IF($C28="","",nf($D28,"Event_CallDuration")/60)</t>
  </si>
  <si>
    <t>=IF($C28="","",nf($D28,"Event_SourceName"))</t>
  </si>
  <si>
    <t>=IF($C28="","",nf($D28,"Event_CallerName2"))</t>
  </si>
  <si>
    <t>=IF($C28="","",IF(AO28="",AN28,AN28&amp;" "&amp;AO28))</t>
  </si>
  <si>
    <t>=IF($C28="","",nf($D28,"Event_Operator"))</t>
  </si>
  <si>
    <t>=IF($C28="","",nf($D28,"Event_Received"))</t>
  </si>
  <si>
    <t>=IF($C28="","",nf($D28,"Event_Purpose"))</t>
  </si>
  <si>
    <t>=BF29</t>
  </si>
  <si>
    <t>=BE29</t>
  </si>
  <si>
    <t>=BB29</t>
  </si>
  <si>
    <t>=IF($C28="","",IF($Y28="","",HYPERLINK($Y28,"(")))</t>
  </si>
  <si>
    <t>=IF($Z28="","",IF(LEFT($Z28,4)="http",$Z28,"http://"&amp;$Z28))</t>
  </si>
  <si>
    <t>=IF(AC28="ET",0.04166667,IF(AC28="MT",-0.04166667,IF(AC28="PT",-0.08333333,0)))</t>
  </si>
  <si>
    <t>=C28</t>
  </si>
  <si>
    <t>=IF(BA28="","",NL("First","Alerts","Alert_Name","Alert_Id",BA28))</t>
  </si>
  <si>
    <t>=D28</t>
  </si>
  <si>
    <t>=IF($C28="","","Call Note: "&amp;IFERROR(AF29,nf($D29,"Event_Notes"))&amp;AQ29&amp;AM29&amp;AZ29)</t>
  </si>
  <si>
    <t>=NL("First","CLASSIFICATION","value","schema=","machine","primary","1","interactiontypeid","1","ClassificationTypeID","9","InteractionID",AR29)</t>
  </si>
  <si>
    <t>=IF(AM28="","","  [Dealer Response: "&amp;AM28&amp;"] ")</t>
  </si>
  <si>
    <t>=IF(AQ28="","","  [Reverse Lookup Name: "&amp;AQ28&amp;"] ")</t>
  </si>
  <si>
    <t>=""&amp;AR28</t>
  </si>
  <si>
    <t>=BB29&amp;BE29&amp;"  "&amp;BG29&amp;"  "&amp;BI29</t>
  </si>
  <si>
    <t>=IF(BD28=1,"Closed Alert: "&amp;BC28,IF(BC28="","", "Open Alert: "&amp;BC28))</t>
  </si>
  <si>
    <t>=IF(BE28="","",BE28)</t>
  </si>
  <si>
    <t>=IF(BF28="","",BF28)</t>
  </si>
  <si>
    <t>=IF(BH28="","","  ["&amp;BG28&amp;": "&amp;BH28&amp;"]")</t>
  </si>
  <si>
    <t>=IF(BJ28="","","  ["&amp;BI28&amp;": "&amp;BJ28&amp;"]")</t>
  </si>
  <si>
    <t>404478881</t>
  </si>
  <si>
    <t>=IF($C30="","",nf($D30,"Event_BeginTime"))</t>
  </si>
  <si>
    <t>=IF($C30="","",nf($D30,"Event_BeginTime")+AD30)</t>
  </si>
  <si>
    <t>=IF($C30="","",nf($D30,"Event_CallDuration")/60)</t>
  </si>
  <si>
    <t>=IF($C30="","",nf($D30,"Event_SourceName"))</t>
  </si>
  <si>
    <t>=IF($C30="","",nf($D30,"Event_CallerName2"))</t>
  </si>
  <si>
    <t>=IF($C30="","",IF(AO30="",AN30,AN30&amp;" "&amp;AO30))</t>
  </si>
  <si>
    <t>=IF($C30="","",nf($D30,"Event_Operator"))</t>
  </si>
  <si>
    <t>=IF($C30="","",nf($D30,"Event_Received"))</t>
  </si>
  <si>
    <t>=IF($C30="","",nf($D30,"Event_Purpose"))</t>
  </si>
  <si>
    <t>=BF31</t>
  </si>
  <si>
    <t>=BE31</t>
  </si>
  <si>
    <t>=BB31</t>
  </si>
  <si>
    <t>=IF($C30="","",IF($Y30="","",HYPERLINK($Y30,"(")))</t>
  </si>
  <si>
    <t>=IF($Z30="","",IF(LEFT($Z30,4)="http",$Z30,"http://"&amp;$Z30))</t>
  </si>
  <si>
    <t>=IF(AC30="ET",0.04166667,IF(AC30="MT",-0.04166667,IF(AC30="PT",-0.08333333,0)))</t>
  </si>
  <si>
    <t>=C30</t>
  </si>
  <si>
    <t>=IF(BA30="","",NL("First","Alerts","Alert_Name","Alert_Id",BA30))</t>
  </si>
  <si>
    <t>=D30</t>
  </si>
  <si>
    <t>=IF($C30="","","Call Note: "&amp;IFERROR(AF31,nf($D31,"Event_Notes"))&amp;AQ31&amp;AM31&amp;AZ31)</t>
  </si>
  <si>
    <t>=NL("First","CLASSIFICATION","value","schema=","machine","primary","1","interactiontypeid","1","ClassificationTypeID","9","InteractionID",AR31)</t>
  </si>
  <si>
    <t>=IF(AM30="","","  [Dealer Response: "&amp;AM30&amp;"] ")</t>
  </si>
  <si>
    <t>=IF(AQ30="","","  [Reverse Lookup Name: "&amp;AQ30&amp;"] ")</t>
  </si>
  <si>
    <t>=""&amp;AR30</t>
  </si>
  <si>
    <t>=BB31&amp;BE31&amp;"  "&amp;BG31&amp;"  "&amp;BI31</t>
  </si>
  <si>
    <t>=IF(BD30=1,"Closed Alert: "&amp;BC30,IF(BC30="","", "Open Alert: "&amp;BC30))</t>
  </si>
  <si>
    <t>=IF(BE30="","",BE30)</t>
  </si>
  <si>
    <t>=IF(BF30="","",BF30)</t>
  </si>
  <si>
    <t>=IF(BH30="","","  ["&amp;BG30&amp;": "&amp;BH30&amp;"]")</t>
  </si>
  <si>
    <t>=IF(BJ30="","","  ["&amp;BI30&amp;": "&amp;BJ30&amp;"]")</t>
  </si>
  <si>
    <t>408153404</t>
  </si>
  <si>
    <t>=IF($C32="","",nf($D32,"Event_BeginTime"))</t>
  </si>
  <si>
    <t>=IF($C32="","",nf($D32,"Event_BeginTime")+AD32)</t>
  </si>
  <si>
    <t>=IF($C32="","",nf($D32,"Event_CallDuration")/60)</t>
  </si>
  <si>
    <t>=IF($C32="","",nf($D32,"Event_SourceName"))</t>
  </si>
  <si>
    <t>=IF($C32="","",nf($D32,"Event_CallerName2"))</t>
  </si>
  <si>
    <t>=IF($C32="","",IF(AO32="",AN32,AN32&amp;" "&amp;AO32))</t>
  </si>
  <si>
    <t>=IF($C32="","",nf($D32,"Event_Operator"))</t>
  </si>
  <si>
    <t>=IF($C32="","",nf($D32,"Event_Received"))</t>
  </si>
  <si>
    <t>=IF($C32="","",nf($D32,"Event_Purpose"))</t>
  </si>
  <si>
    <t>=BF33</t>
  </si>
  <si>
    <t>=BE33</t>
  </si>
  <si>
    <t>=BB33</t>
  </si>
  <si>
    <t>=IF($C32="","",IF($Y32="","",HYPERLINK($Y32,"(")))</t>
  </si>
  <si>
    <t>=IF($Z32="","",IF(LEFT($Z32,4)="http",$Z32,"http://"&amp;$Z32))</t>
  </si>
  <si>
    <t>=IF(AC32="ET",0.04166667,IF(AC32="MT",-0.04166667,IF(AC32="PT",-0.08333333,0)))</t>
  </si>
  <si>
    <t>=C32</t>
  </si>
  <si>
    <t>=IF(BA32="","",NL("First","Alerts","Alert_Name","Alert_Id",BA32))</t>
  </si>
  <si>
    <t>=D32</t>
  </si>
  <si>
    <t>=IF($C32="","","Call Note: "&amp;IFERROR(AF33,nf($D33,"Event_Notes"))&amp;AQ33&amp;AM33&amp;AZ33)</t>
  </si>
  <si>
    <t>=NL("First","CLASSIFICATION","value","schema=","machine","primary","1","interactiontypeid","1","ClassificationTypeID","9","InteractionID",AR33)</t>
  </si>
  <si>
    <t>=IF(AM32="","","  [Dealer Response: "&amp;AM32&amp;"] ")</t>
  </si>
  <si>
    <t>=IF(AQ32="","","  [Reverse Lookup Name: "&amp;AQ32&amp;"] ")</t>
  </si>
  <si>
    <t>=""&amp;AR32</t>
  </si>
  <si>
    <t>=BB33&amp;BE33&amp;"  "&amp;BG33&amp;"  "&amp;BI33</t>
  </si>
  <si>
    <t>=IF(BD32=1,"Closed Alert: "&amp;BC32,IF(BC32="","", "Open Alert: "&amp;BC32))</t>
  </si>
  <si>
    <t>=IF(BE32="","",BE32)</t>
  </si>
  <si>
    <t>=IF(BF32="","",BF32)</t>
  </si>
  <si>
    <t>=IF(BH32="","","  ["&amp;BG32&amp;": "&amp;BH32&amp;"]")</t>
  </si>
  <si>
    <t>=IF(BJ32="","","  ["&amp;BI32&amp;": "&amp;BJ32&amp;"]")</t>
  </si>
  <si>
    <t>409917045</t>
  </si>
  <si>
    <t>=IF($C34="","",nf($D34,"Event_BeginTime"))</t>
  </si>
  <si>
    <t>=IF($C34="","",nf($D34,"Event_BeginTime")+AD34)</t>
  </si>
  <si>
    <t>=IF($C34="","",nf($D34,"Event_CallDuration")/60)</t>
  </si>
  <si>
    <t>=IF($C34="","",nf($D34,"Event_SourceName"))</t>
  </si>
  <si>
    <t>=IF($C34="","",nf($D34,"Event_CallerName2"))</t>
  </si>
  <si>
    <t>=IF($C34="","",IF(AO34="",AN34,AN34&amp;" "&amp;AO34))</t>
  </si>
  <si>
    <t>=IF($C34="","",nf($D34,"Event_Operator"))</t>
  </si>
  <si>
    <t>=IF($C34="","",nf($D34,"Event_Received"))</t>
  </si>
  <si>
    <t>=IF($C34="","",nf($D34,"Event_Purpose"))</t>
  </si>
  <si>
    <t>=BF35</t>
  </si>
  <si>
    <t>=BE35</t>
  </si>
  <si>
    <t>=BB35</t>
  </si>
  <si>
    <t>=IF($C34="","",IF($Y34="","",HYPERLINK($Y34,"(")))</t>
  </si>
  <si>
    <t>=IF($Z34="","",IF(LEFT($Z34,4)="http",$Z34,"http://"&amp;$Z34))</t>
  </si>
  <si>
    <t>=IF(AC34="ET",0.04166667,IF(AC34="MT",-0.04166667,IF(AC34="PT",-0.08333333,0)))</t>
  </si>
  <si>
    <t>=C34</t>
  </si>
  <si>
    <t>=IF(BA34="","",NL("First","Alerts","Alert_Name","Alert_Id",BA34))</t>
  </si>
  <si>
    <t>=D34</t>
  </si>
  <si>
    <t>=IF($C34="","","Call Note: "&amp;IFERROR(AF35,nf($D35,"Event_Notes"))&amp;AQ35&amp;AM35&amp;AZ35)</t>
  </si>
  <si>
    <t>=NL("First","CLASSIFICATION","value","schema=","machine","primary","1","interactiontypeid","1","ClassificationTypeID","9","InteractionID",AR35)</t>
  </si>
  <si>
    <t>=IF(AM34="","","  [Dealer Response: "&amp;AM34&amp;"] ")</t>
  </si>
  <si>
    <t>=IF(AQ34="","","  [Reverse Lookup Name: "&amp;AQ34&amp;"] ")</t>
  </si>
  <si>
    <t>=""&amp;AR34</t>
  </si>
  <si>
    <t>=BB35&amp;BE35&amp;"  "&amp;BG35&amp;"  "&amp;BI35</t>
  </si>
  <si>
    <t>=IF(BD34=1,"Closed Alert: "&amp;BC34,IF(BC34="","", "Open Alert: "&amp;BC34))</t>
  </si>
  <si>
    <t>=IF(BE34="","",BE34)</t>
  </si>
  <si>
    <t>=IF(BF34="","",BF34)</t>
  </si>
  <si>
    <t>=IF(BH34="","","  ["&amp;BG34&amp;": "&amp;BH34&amp;"]")</t>
  </si>
  <si>
    <t>=IF(BJ34="","","  ["&amp;BI34&amp;": "&amp;BJ34&amp;"]")</t>
  </si>
  <si>
    <t>406116845</t>
  </si>
  <si>
    <t>=IF($C36="","",nf($D36,"Event_BeginTime"))</t>
  </si>
  <si>
    <t>=IF($C36="","",nf($D36,"Event_BeginTime")+AD36)</t>
  </si>
  <si>
    <t>=IF($C36="","",nf($D36,"Event_CallDuration")/60)</t>
  </si>
  <si>
    <t>=IF($C36="","",nf($D36,"Event_SourceName"))</t>
  </si>
  <si>
    <t>=IF($C36="","",nf($D36,"Event_CallerName2"))</t>
  </si>
  <si>
    <t>=IF($C36="","",IF(AO36="",AN36,AN36&amp;" "&amp;AO36))</t>
  </si>
  <si>
    <t>=IF($C36="","",nf($D36,"Event_Operator"))</t>
  </si>
  <si>
    <t>=IF($C36="","",nf($D36,"Event_Received"))</t>
  </si>
  <si>
    <t>=IF($C36="","",nf($D36,"Event_Purpose"))</t>
  </si>
  <si>
    <t>=BF37</t>
  </si>
  <si>
    <t>=BE37</t>
  </si>
  <si>
    <t>=BB37</t>
  </si>
  <si>
    <t>=IF($C36="","",IF($Y36="","",HYPERLINK($Y36,"(")))</t>
  </si>
  <si>
    <t>=IF($Z36="","",IF(LEFT($Z36,4)="http",$Z36,"http://"&amp;$Z36))</t>
  </si>
  <si>
    <t>=IF(AC36="ET",0.04166667,IF(AC36="MT",-0.04166667,IF(AC36="PT",-0.08333333,0)))</t>
  </si>
  <si>
    <t>=C36</t>
  </si>
  <si>
    <t>=IF(BA36="","",NL("First","Alerts","Alert_Name","Alert_Id",BA36))</t>
  </si>
  <si>
    <t>=D36</t>
  </si>
  <si>
    <t>=IF($C36="","","Call Note: "&amp;IFERROR(AF37,nf($D37,"Event_Notes"))&amp;AQ37&amp;AM37&amp;AZ37)</t>
  </si>
  <si>
    <t>=NL("First","CLASSIFICATION","value","schema=","machine","primary","1","interactiontypeid","1","ClassificationTypeID","9","InteractionID",AR37)</t>
  </si>
  <si>
    <t>=IF(AM36="","","  [Dealer Response: "&amp;AM36&amp;"] ")</t>
  </si>
  <si>
    <t>=IF(AQ36="","","  [Reverse Lookup Name: "&amp;AQ36&amp;"] ")</t>
  </si>
  <si>
    <t>=""&amp;AR36</t>
  </si>
  <si>
    <t>=BB37&amp;BE37&amp;"  "&amp;BG37&amp;"  "&amp;BI37</t>
  </si>
  <si>
    <t>=IF(BD36=1,"Closed Alert: "&amp;BC36,IF(BC36="","", "Open Alert: "&amp;BC36))</t>
  </si>
  <si>
    <t>=IF(BE36="","",BE36)</t>
  </si>
  <si>
    <t>=IF(BF36="","",BF36)</t>
  </si>
  <si>
    <t>=IF(BH36="","","  ["&amp;BG36&amp;": "&amp;BH36&amp;"]")</t>
  </si>
  <si>
    <t>=IF(BJ36="","","  ["&amp;BI36&amp;": "&amp;BJ36&amp;"]")</t>
  </si>
  <si>
    <t>404748896</t>
  </si>
  <si>
    <t>=IF($C38="","",nf($D38,"Event_BeginTime"))</t>
  </si>
  <si>
    <t>=IF($C38="","",nf($D38,"Event_BeginTime")+AD38)</t>
  </si>
  <si>
    <t>=IF($C38="","",nf($D38,"Event_CallDuration")/60)</t>
  </si>
  <si>
    <t>=IF($C38="","",nf($D38,"Event_SourceName"))</t>
  </si>
  <si>
    <t>=IF($C38="","",nf($D38,"Event_CallerName2"))</t>
  </si>
  <si>
    <t>=IF($C38="","",IF(AO38="",AN38,AN38&amp;" "&amp;AO38))</t>
  </si>
  <si>
    <t>=IF($C38="","",nf($D38,"Event_Operator"))</t>
  </si>
  <si>
    <t>=IF($C38="","",nf($D38,"Event_Received"))</t>
  </si>
  <si>
    <t>=IF($C38="","",nf($D38,"Event_Purpose"))</t>
  </si>
  <si>
    <t>=BF39</t>
  </si>
  <si>
    <t>=BE39</t>
  </si>
  <si>
    <t>=BB39</t>
  </si>
  <si>
    <t>=IF($C38="","",IF($Y38="","",HYPERLINK($Y38,"(")))</t>
  </si>
  <si>
    <t>=IF($Z38="","",IF(LEFT($Z38,4)="http",$Z38,"http://"&amp;$Z38))</t>
  </si>
  <si>
    <t>=IF(AC38="ET",0.04166667,IF(AC38="MT",-0.04166667,IF(AC38="PT",-0.08333333,0)))</t>
  </si>
  <si>
    <t>=C38</t>
  </si>
  <si>
    <t>=IF(BA38="","",NL("First","Alerts","Alert_Name","Alert_Id",BA38))</t>
  </si>
  <si>
    <t>=D38</t>
  </si>
  <si>
    <t>=IF($C38="","","Call Note: "&amp;IFERROR(AF39,nf($D39,"Event_Notes"))&amp;AQ39&amp;AM39&amp;AZ39)</t>
  </si>
  <si>
    <t>=NL("First","CLASSIFICATION","value","schema=","machine","primary","1","interactiontypeid","1","ClassificationTypeID","9","InteractionID",AR39)</t>
  </si>
  <si>
    <t>=IF(AM38="","","  [Dealer Response: "&amp;AM38&amp;"] ")</t>
  </si>
  <si>
    <t>=IF(AQ38="","","  [Reverse Lookup Name: "&amp;AQ38&amp;"] ")</t>
  </si>
  <si>
    <t>=""&amp;AR38</t>
  </si>
  <si>
    <t>=BB39&amp;BE39&amp;"  "&amp;BG39&amp;"  "&amp;BI39</t>
  </si>
  <si>
    <t>=IF(BD38=1,"Closed Alert: "&amp;BC38,IF(BC38="","", "Open Alert: "&amp;BC38))</t>
  </si>
  <si>
    <t>=IF(BE38="","",BE38)</t>
  </si>
  <si>
    <t>=IF(BF38="","",BF38)</t>
  </si>
  <si>
    <t>=IF(BH38="","","  ["&amp;BG38&amp;": "&amp;BH38&amp;"]")</t>
  </si>
  <si>
    <t>=IF(BJ38="","","  ["&amp;BI38&amp;": "&amp;BJ38&amp;"]")</t>
  </si>
  <si>
    <t>408182820</t>
  </si>
  <si>
    <t>=IF($C40="","",nf($D40,"Event_BeginTime"))</t>
  </si>
  <si>
    <t>=IF($C40="","",nf($D40,"Event_BeginTime")+AD40)</t>
  </si>
  <si>
    <t>=IF($C40="","",nf($D40,"Event_CallDuration")/60)</t>
  </si>
  <si>
    <t>=IF($C40="","",nf($D40,"Event_SourceName"))</t>
  </si>
  <si>
    <t>=IF($C40="","",nf($D40,"Event_CallerName2"))</t>
  </si>
  <si>
    <t>=IF($C40="","",IF(AO40="",AN40,AN40&amp;" "&amp;AO40))</t>
  </si>
  <si>
    <t>=IF($C40="","",nf($D40,"Event_Operator"))</t>
  </si>
  <si>
    <t>=IF($C40="","",nf($D40,"Event_Received"))</t>
  </si>
  <si>
    <t>=IF($C40="","",nf($D40,"Event_Purpose"))</t>
  </si>
  <si>
    <t>=BF41</t>
  </si>
  <si>
    <t>=BE41</t>
  </si>
  <si>
    <t>=BB41</t>
  </si>
  <si>
    <t>=IF($C40="","",IF($Y40="","",HYPERLINK($Y40,"(")))</t>
  </si>
  <si>
    <t>=IF($Z40="","",IF(LEFT($Z40,4)="http",$Z40,"http://"&amp;$Z40))</t>
  </si>
  <si>
    <t>=IF(AC40="ET",0.04166667,IF(AC40="MT",-0.04166667,IF(AC40="PT",-0.08333333,0)))</t>
  </si>
  <si>
    <t>=C40</t>
  </si>
  <si>
    <t>=IF(BA40="","",NL("First","Alerts","Alert_Name","Alert_Id",BA40))</t>
  </si>
  <si>
    <t>=D40</t>
  </si>
  <si>
    <t>=IF($C40="","","Call Note: "&amp;IFERROR(AF41,nf($D41,"Event_Notes"))&amp;AQ41&amp;AM41&amp;AZ41)</t>
  </si>
  <si>
    <t>=NL("First","CLASSIFICATION","value","schema=","machine","primary","1","interactiontypeid","1","ClassificationTypeID","9","InteractionID",AR41)</t>
  </si>
  <si>
    <t>=IF(AM40="","","  [Dealer Response: "&amp;AM40&amp;"] ")</t>
  </si>
  <si>
    <t>=IF(AQ40="","","  [Reverse Lookup Name: "&amp;AQ40&amp;"] ")</t>
  </si>
  <si>
    <t>=""&amp;AR40</t>
  </si>
  <si>
    <t>=BB41&amp;BE41&amp;"  "&amp;BG41&amp;"  "&amp;BI41</t>
  </si>
  <si>
    <t>=IF(BD40=1,"Closed Alert: "&amp;BC40,IF(BC40="","", "Open Alert: "&amp;BC40))</t>
  </si>
  <si>
    <t>=IF(BE40="","",BE40)</t>
  </si>
  <si>
    <t>=IF(BF40="","",BF40)</t>
  </si>
  <si>
    <t>=IF(BH40="","","  ["&amp;BG40&amp;": "&amp;BH40&amp;"]")</t>
  </si>
  <si>
    <t>=IF(BJ40="","","  ["&amp;BI40&amp;": "&amp;BJ40&amp;"]")</t>
  </si>
  <si>
    <t>407328841</t>
  </si>
  <si>
    <t>=IF($C42="","",nf($D42,"Event_BeginTime"))</t>
  </si>
  <si>
    <t>=IF($C42="","",nf($D42,"Event_BeginTime")+AD42)</t>
  </si>
  <si>
    <t>=IF($C42="","",nf($D42,"Event_CallDuration")/60)</t>
  </si>
  <si>
    <t>=IF($C42="","",nf($D42,"Event_SourceName"))</t>
  </si>
  <si>
    <t>=IF($C42="","",nf($D42,"Event_CallerName2"))</t>
  </si>
  <si>
    <t>=IF($C42="","",IF(AO42="",AN42,AN42&amp;" "&amp;AO42))</t>
  </si>
  <si>
    <t>=IF($C42="","",nf($D42,"Event_Operator"))</t>
  </si>
  <si>
    <t>=IF($C42="","",nf($D42,"Event_Received"))</t>
  </si>
  <si>
    <t>=IF($C42="","",nf($D42,"Event_Purpose"))</t>
  </si>
  <si>
    <t>=BF43</t>
  </si>
  <si>
    <t>=BE43</t>
  </si>
  <si>
    <t>=BB43</t>
  </si>
  <si>
    <t>=IF($C42="","",IF($Y42="","",HYPERLINK($Y42,"(")))</t>
  </si>
  <si>
    <t>=IF($Z42="","",IF(LEFT($Z42,4)="http",$Z42,"http://"&amp;$Z42))</t>
  </si>
  <si>
    <t>=IF(AC42="ET",0.04166667,IF(AC42="MT",-0.04166667,IF(AC42="PT",-0.08333333,0)))</t>
  </si>
  <si>
    <t>=C42</t>
  </si>
  <si>
    <t>=IF(BA42="","",NL("First","Alerts","Alert_Name","Alert_Id",BA42))</t>
  </si>
  <si>
    <t>=D42</t>
  </si>
  <si>
    <t>=IF($C42="","","Call Note: "&amp;IFERROR(AF43,nf($D43,"Event_Notes"))&amp;AQ43&amp;AM43&amp;AZ43)</t>
  </si>
  <si>
    <t>=NL("First","CLASSIFICATION","value","schema=","machine","primary","1","interactiontypeid","1","ClassificationTypeID","9","InteractionID",AR43)</t>
  </si>
  <si>
    <t>=IF(AM42="","","  [Dealer Response: "&amp;AM42&amp;"] ")</t>
  </si>
  <si>
    <t>=IF(AQ42="","","  [Reverse Lookup Name: "&amp;AQ42&amp;"] ")</t>
  </si>
  <si>
    <t>=""&amp;AR42</t>
  </si>
  <si>
    <t>=BB43&amp;BE43&amp;"  "&amp;BG43&amp;"  "&amp;BI43</t>
  </si>
  <si>
    <t>=IF(BD42=1,"Closed Alert: "&amp;BC42,IF(BC42="","", "Open Alert: "&amp;BC42))</t>
  </si>
  <si>
    <t>=IF(BE42="","",BE42)</t>
  </si>
  <si>
    <t>=IF(BF42="","",BF42)</t>
  </si>
  <si>
    <t>=IF(BH42="","","  ["&amp;BG42&amp;": "&amp;BH42&amp;"]")</t>
  </si>
  <si>
    <t>=IF(BJ42="","","  ["&amp;BI42&amp;": "&amp;BJ42&amp;"]")</t>
  </si>
  <si>
    <t>406565895</t>
  </si>
  <si>
    <t>=IF($C44="","",nf($D44,"Event_BeginTime"))</t>
  </si>
  <si>
    <t>=IF($C44="","",nf($D44,"Event_BeginTime")+AD44)</t>
  </si>
  <si>
    <t>=IF($C44="","",nf($D44,"Event_CallDuration")/60)</t>
  </si>
  <si>
    <t>=IF($C44="","",nf($D44,"Event_SourceName"))</t>
  </si>
  <si>
    <t>=IF($C44="","",nf($D44,"Event_CallerName2"))</t>
  </si>
  <si>
    <t>=IF($C44="","",IF(AO44="",AN44,AN44&amp;" "&amp;AO44))</t>
  </si>
  <si>
    <t>=IF($C44="","",nf($D44,"Event_Operator"))</t>
  </si>
  <si>
    <t>=IF($C44="","",nf($D44,"Event_Received"))</t>
  </si>
  <si>
    <t>=IF($C44="","",nf($D44,"Event_Purpose"))</t>
  </si>
  <si>
    <t>=BF45</t>
  </si>
  <si>
    <t>=BE45</t>
  </si>
  <si>
    <t>=BB45</t>
  </si>
  <si>
    <t>=IF($C44="","",IF($Y44="","",HYPERLINK($Y44,"(")))</t>
  </si>
  <si>
    <t>=IF($Z44="","",IF(LEFT($Z44,4)="http",$Z44,"http://"&amp;$Z44))</t>
  </si>
  <si>
    <t>=IF(AC44="ET",0.04166667,IF(AC44="MT",-0.04166667,IF(AC44="PT",-0.08333333,0)))</t>
  </si>
  <si>
    <t>=C44</t>
  </si>
  <si>
    <t>=IF(BA44="","",NL("First","Alerts","Alert_Name","Alert_Id",BA44))</t>
  </si>
  <si>
    <t>=D44</t>
  </si>
  <si>
    <t>=IF($C44="","","Call Note: "&amp;IFERROR(AF45,nf($D45,"Event_Notes"))&amp;AQ45&amp;AM45&amp;AZ45)</t>
  </si>
  <si>
    <t>=NL("First","CLASSIFICATION","value","schema=","machine","primary","1","interactiontypeid","1","ClassificationTypeID","9","InteractionID",AR45)</t>
  </si>
  <si>
    <t>=IF(AM44="","","  [Dealer Response: "&amp;AM44&amp;"] ")</t>
  </si>
  <si>
    <t>=IF(AQ44="","","  [Reverse Lookup Name: "&amp;AQ44&amp;"] ")</t>
  </si>
  <si>
    <t>=""&amp;AR44</t>
  </si>
  <si>
    <t>=BB45&amp;BE45&amp;"  "&amp;BG45&amp;"  "&amp;BI45</t>
  </si>
  <si>
    <t>=IF(BD44=1,"Closed Alert: "&amp;BC44,IF(BC44="","", "Open Alert: "&amp;BC44))</t>
  </si>
  <si>
    <t>=IF(BE44="","",BE44)</t>
  </si>
  <si>
    <t>=IF(BF44="","",BF44)</t>
  </si>
  <si>
    <t>=IF(BH44="","","  ["&amp;BG44&amp;": "&amp;BH44&amp;"]")</t>
  </si>
  <si>
    <t>=IF(BJ44="","","  ["&amp;BI44&amp;": "&amp;BJ44&amp;"]")</t>
  </si>
  <si>
    <t>407451730</t>
  </si>
  <si>
    <t>=IF($C46="","",nf($D46,"Event_BeginTime"))</t>
  </si>
  <si>
    <t>=IF($C46="","",nf($D46,"Event_BeginTime")+AD46)</t>
  </si>
  <si>
    <t>=IF($C46="","",nf($D46,"Event_CallDuration")/60)</t>
  </si>
  <si>
    <t>=IF($C46="","",nf($D46,"Event_SourceName"))</t>
  </si>
  <si>
    <t>=IF($C46="","",nf($D46,"Event_CallerName2"))</t>
  </si>
  <si>
    <t>=IF($C46="","",IF(AO46="",AN46,AN46&amp;" "&amp;AO46))</t>
  </si>
  <si>
    <t>=IF($C46="","",nf($D46,"Event_Operator"))</t>
  </si>
  <si>
    <t>=IF($C46="","",nf($D46,"Event_Received"))</t>
  </si>
  <si>
    <t>=IF($C46="","",nf($D46,"Event_Purpose"))</t>
  </si>
  <si>
    <t>=BF47</t>
  </si>
  <si>
    <t>=BE47</t>
  </si>
  <si>
    <t>=BB47</t>
  </si>
  <si>
    <t>=IF($C46="","",IF($Y46="","",HYPERLINK($Y46,"(")))</t>
  </si>
  <si>
    <t>=IF($Z46="","",IF(LEFT($Z46,4)="http",$Z46,"http://"&amp;$Z46))</t>
  </si>
  <si>
    <t>=IF(AC46="ET",0.04166667,IF(AC46="MT",-0.04166667,IF(AC46="PT",-0.08333333,0)))</t>
  </si>
  <si>
    <t>=C46</t>
  </si>
  <si>
    <t>=IF(BA46="","",NL("First","Alerts","Alert_Name","Alert_Id",BA46))</t>
  </si>
  <si>
    <t>=D46</t>
  </si>
  <si>
    <t>=IF($C46="","","Call Note: "&amp;IFERROR(AF47,nf($D47,"Event_Notes"))&amp;AQ47&amp;AM47&amp;AZ47)</t>
  </si>
  <si>
    <t>=NL("First","CLASSIFICATION","value","schema=","machine","primary","1","interactiontypeid","1","ClassificationTypeID","9","InteractionID",AR47)</t>
  </si>
  <si>
    <t>=IF(AM46="","","  [Dealer Response: "&amp;AM46&amp;"] ")</t>
  </si>
  <si>
    <t>=IF(AQ46="","","  [Reverse Lookup Name: "&amp;AQ46&amp;"] ")</t>
  </si>
  <si>
    <t>=""&amp;AR46</t>
  </si>
  <si>
    <t>=BB47&amp;BE47&amp;"  "&amp;BG47&amp;"  "&amp;BI47</t>
  </si>
  <si>
    <t>=IF(BD46=1,"Closed Alert: "&amp;BC46,IF(BC46="","", "Open Alert: "&amp;BC46))</t>
  </si>
  <si>
    <t>=IF(BE46="","",BE46)</t>
  </si>
  <si>
    <t>=IF(BF46="","",BF46)</t>
  </si>
  <si>
    <t>=IF(BH46="","","  ["&amp;BG46&amp;": "&amp;BH46&amp;"]")</t>
  </si>
  <si>
    <t>=IF(BJ46="","","  ["&amp;BI46&amp;": "&amp;BJ46&amp;"]")</t>
  </si>
  <si>
    <t>405672351</t>
  </si>
  <si>
    <t>=IF($C48="","",nf($D48,"Event_BeginTime"))</t>
  </si>
  <si>
    <t>=IF($C48="","",nf($D48,"Event_BeginTime")+AD48)</t>
  </si>
  <si>
    <t>=IF($C48="","",nf($D48,"Event_CallDuration")/60)</t>
  </si>
  <si>
    <t>=IF($C48="","",nf($D48,"Event_SourceName"))</t>
  </si>
  <si>
    <t>=IF($C48="","",nf($D48,"Event_CallerName2"))</t>
  </si>
  <si>
    <t>=IF($C48="","",IF(AO48="",AN48,AN48&amp;" "&amp;AO48))</t>
  </si>
  <si>
    <t>=IF($C48="","",nf($D48,"Event_Operator"))</t>
  </si>
  <si>
    <t>=IF($C48="","",nf($D48,"Event_Received"))</t>
  </si>
  <si>
    <t>=IF($C48="","",nf($D48,"Event_Purpose"))</t>
  </si>
  <si>
    <t>=BF49</t>
  </si>
  <si>
    <t>=BE49</t>
  </si>
  <si>
    <t>=BB49</t>
  </si>
  <si>
    <t>=IF($C48="","",IF($Y48="","",HYPERLINK($Y48,"(")))</t>
  </si>
  <si>
    <t>=IF($Z48="","",IF(LEFT($Z48,4)="http",$Z48,"http://"&amp;$Z48))</t>
  </si>
  <si>
    <t>=IF(AC48="ET",0.04166667,IF(AC48="MT",-0.04166667,IF(AC48="PT",-0.08333333,0)))</t>
  </si>
  <si>
    <t>=C48</t>
  </si>
  <si>
    <t>=IF(BA48="","",NL("First","Alerts","Alert_Name","Alert_Id",BA48))</t>
  </si>
  <si>
    <t>=D48</t>
  </si>
  <si>
    <t>=IF($C48="","","Call Note: "&amp;IFERROR(AF49,nf($D49,"Event_Notes"))&amp;AQ49&amp;AM49&amp;AZ49)</t>
  </si>
  <si>
    <t>=NL("First","CLASSIFICATION","value","schema=","machine","primary","1","interactiontypeid","1","ClassificationTypeID","9","InteractionID",AR49)</t>
  </si>
  <si>
    <t>=IF(AM48="","","  [Dealer Response: "&amp;AM48&amp;"] ")</t>
  </si>
  <si>
    <t>=IF(AQ48="","","  [Reverse Lookup Name: "&amp;AQ48&amp;"] ")</t>
  </si>
  <si>
    <t>=""&amp;AR48</t>
  </si>
  <si>
    <t>=BB49&amp;BE49&amp;"  "&amp;BG49&amp;"  "&amp;BI49</t>
  </si>
  <si>
    <t>=IF(BD48=1,"Closed Alert: "&amp;BC48,IF(BC48="","", "Open Alert: "&amp;BC48))</t>
  </si>
  <si>
    <t>=IF(BE48="","",BE48)</t>
  </si>
  <si>
    <t>=IF(BF48="","",BF48)</t>
  </si>
  <si>
    <t>=IF(BH48="","","  ["&amp;BG48&amp;": "&amp;BH48&amp;"]")</t>
  </si>
  <si>
    <t>=IF(BJ48="","","  ["&amp;BI48&amp;": "&amp;BJ48&amp;"]")</t>
  </si>
  <si>
    <t>409283320</t>
  </si>
  <si>
    <t>=IF($C50="","",nf($D50,"Event_BeginTime"))</t>
  </si>
  <si>
    <t>=IF($C50="","",nf($D50,"Event_BeginTime")+AD50)</t>
  </si>
  <si>
    <t>=IF($C50="","",nf($D50,"Event_CallDuration")/60)</t>
  </si>
  <si>
    <t>=IF($C50="","",nf($D50,"Event_SourceName"))</t>
  </si>
  <si>
    <t>=IF($C50="","",nf($D50,"Event_CallerName2"))</t>
  </si>
  <si>
    <t>=IF($C50="","",IF(AO50="",AN50,AN50&amp;" "&amp;AO50))</t>
  </si>
  <si>
    <t>=IF($C50="","",nf($D50,"Event_Operator"))</t>
  </si>
  <si>
    <t>=IF($C50="","",nf($D50,"Event_Received"))</t>
  </si>
  <si>
    <t>=IF($C50="","",nf($D50,"Event_Purpose"))</t>
  </si>
  <si>
    <t>=BF51</t>
  </si>
  <si>
    <t>=BE51</t>
  </si>
  <si>
    <t>=BB51</t>
  </si>
  <si>
    <t>=IF($C50="","",IF($Y50="","",HYPERLINK($Y50,"(")))</t>
  </si>
  <si>
    <t>=IF($Z50="","",IF(LEFT($Z50,4)="http",$Z50,"http://"&amp;$Z50))</t>
  </si>
  <si>
    <t>=IF(AC50="ET",0.04166667,IF(AC50="MT",-0.04166667,IF(AC50="PT",-0.08333333,0)))</t>
  </si>
  <si>
    <t>=C50</t>
  </si>
  <si>
    <t>=IF(BA50="","",NL("First","Alerts","Alert_Name","Alert_Id",BA50))</t>
  </si>
  <si>
    <t>=D50</t>
  </si>
  <si>
    <t>=IF($C50="","","Call Note: "&amp;IFERROR(AF51,nf($D51,"Event_Notes"))&amp;AQ51&amp;AM51&amp;AZ51)</t>
  </si>
  <si>
    <t>=NL("First","CLASSIFICATION","value","schema=","machine","primary","1","interactiontypeid","1","ClassificationTypeID","9","InteractionID",AR51)</t>
  </si>
  <si>
    <t>=IF(AM50="","","  [Dealer Response: "&amp;AM50&amp;"] ")</t>
  </si>
  <si>
    <t>=IF(AQ50="","","  [Reverse Lookup Name: "&amp;AQ50&amp;"] ")</t>
  </si>
  <si>
    <t>=""&amp;AR50</t>
  </si>
  <si>
    <t>=BB51&amp;BE51&amp;"  "&amp;BG51&amp;"  "&amp;BI51</t>
  </si>
  <si>
    <t>=IF(BD50=1,"Closed Alert: "&amp;BC50,IF(BC50="","", "Open Alert: "&amp;BC50))</t>
  </si>
  <si>
    <t>=IF(BE50="","",BE50)</t>
  </si>
  <si>
    <t>=IF(BF50="","",BF50)</t>
  </si>
  <si>
    <t>=IF(BH50="","","  ["&amp;BG50&amp;": "&amp;BH50&amp;"]")</t>
  </si>
  <si>
    <t>=IF(BJ50="","","  ["&amp;BI50&amp;": "&amp;BJ50&amp;"]")</t>
  </si>
  <si>
    <t>410174979</t>
  </si>
  <si>
    <t>=IF($C52="","",nf($D52,"Event_BeginTime"))</t>
  </si>
  <si>
    <t>=IF($C52="","",nf($D52,"Event_BeginTime")+AD52)</t>
  </si>
  <si>
    <t>=IF($C52="","",nf($D52,"Event_CallDuration")/60)</t>
  </si>
  <si>
    <t>=IF($C52="","",nf($D52,"Event_SourceName"))</t>
  </si>
  <si>
    <t>=IF($C52="","",nf($D52,"Event_CallerName2"))</t>
  </si>
  <si>
    <t>=IF($C52="","",IF(AO52="",AN52,AN52&amp;" "&amp;AO52))</t>
  </si>
  <si>
    <t>=IF($C52="","",nf($D52,"Event_Operator"))</t>
  </si>
  <si>
    <t>=IF($C52="","",nf($D52,"Event_Received"))</t>
  </si>
  <si>
    <t>=IF($C52="","",nf($D52,"Event_Purpose"))</t>
  </si>
  <si>
    <t>=BF53</t>
  </si>
  <si>
    <t>=BE53</t>
  </si>
  <si>
    <t>=BB53</t>
  </si>
  <si>
    <t>=IF($C52="","",IF($Y52="","",HYPERLINK($Y52,"(")))</t>
  </si>
  <si>
    <t>=IF($Z52="","",IF(LEFT($Z52,4)="http",$Z52,"http://"&amp;$Z52))</t>
  </si>
  <si>
    <t>=IF(AC52="ET",0.04166667,IF(AC52="MT",-0.04166667,IF(AC52="PT",-0.08333333,0)))</t>
  </si>
  <si>
    <t>=C52</t>
  </si>
  <si>
    <t>=IF(BA52="","",NL("First","Alerts","Alert_Name","Alert_Id",BA52))</t>
  </si>
  <si>
    <t>=D52</t>
  </si>
  <si>
    <t>=IF($C52="","","Call Note: "&amp;IFERROR(AF53,nf($D53,"Event_Notes"))&amp;AQ53&amp;AM53&amp;AZ53)</t>
  </si>
  <si>
    <t>=NL("First","CLASSIFICATION","value","schema=","machine","primary","1","interactiontypeid","1","ClassificationTypeID","9","InteractionID",AR53)</t>
  </si>
  <si>
    <t>=IF(AM52="","","  [Dealer Response: "&amp;AM52&amp;"] ")</t>
  </si>
  <si>
    <t>=IF(AQ52="","","  [Reverse Lookup Name: "&amp;AQ52&amp;"] ")</t>
  </si>
  <si>
    <t>=""&amp;AR52</t>
  </si>
  <si>
    <t>=BB53&amp;BE53&amp;"  "&amp;BG53&amp;"  "&amp;BI53</t>
  </si>
  <si>
    <t>=IF(BD52=1,"Closed Alert: "&amp;BC52,IF(BC52="","", "Open Alert: "&amp;BC52))</t>
  </si>
  <si>
    <t>=IF(BE52="","",BE52)</t>
  </si>
  <si>
    <t>=IF(BF52="","",BF52)</t>
  </si>
  <si>
    <t>=IF(BH52="","","  ["&amp;BG52&amp;": "&amp;BH52&amp;"]")</t>
  </si>
  <si>
    <t>=IF(BJ52="","","  ["&amp;BI52&amp;": "&amp;BJ52&amp;"]")</t>
  </si>
  <si>
    <t>408699141</t>
  </si>
  <si>
    <t>=IF($C54="","",nf($D54,"Event_BeginTime"))</t>
  </si>
  <si>
    <t>=IF($C54="","",nf($D54,"Event_BeginTime")+AD54)</t>
  </si>
  <si>
    <t>=IF($C54="","",nf($D54,"Event_CallDuration")/60)</t>
  </si>
  <si>
    <t>=IF($C54="","",nf($D54,"Event_SourceName"))</t>
  </si>
  <si>
    <t>=IF($C54="","",nf($D54,"Event_CallerName2"))</t>
  </si>
  <si>
    <t>=IF($C54="","",IF(AO54="",AN54,AN54&amp;" "&amp;AO54))</t>
  </si>
  <si>
    <t>=IF($C54="","",nf($D54,"Event_Operator"))</t>
  </si>
  <si>
    <t>=IF($C54="","",nf($D54,"Event_Received"))</t>
  </si>
  <si>
    <t>=IF($C54="","",nf($D54,"Event_Purpose"))</t>
  </si>
  <si>
    <t>=BF55</t>
  </si>
  <si>
    <t>=BE55</t>
  </si>
  <si>
    <t>=BB55</t>
  </si>
  <si>
    <t>=IF($C54="","",IF($Y54="","",HYPERLINK($Y54,"(")))</t>
  </si>
  <si>
    <t>=IF($Z54="","",IF(LEFT($Z54,4)="http",$Z54,"http://"&amp;$Z54))</t>
  </si>
  <si>
    <t>=IF(AC54="ET",0.04166667,IF(AC54="MT",-0.04166667,IF(AC54="PT",-0.08333333,0)))</t>
  </si>
  <si>
    <t>=C54</t>
  </si>
  <si>
    <t>=IF(BA54="","",NL("First","Alerts","Alert_Name","Alert_Id",BA54))</t>
  </si>
  <si>
    <t>=D54</t>
  </si>
  <si>
    <t>=IF($C54="","","Call Note: "&amp;IFERROR(AF55,nf($D55,"Event_Notes"))&amp;AQ55&amp;AM55&amp;AZ55)</t>
  </si>
  <si>
    <t>=NL("First","CLASSIFICATION","value","schema=","machine","primary","1","interactiontypeid","1","ClassificationTypeID","9","InteractionID",AR55)</t>
  </si>
  <si>
    <t>=IF(AM54="","","  [Dealer Response: "&amp;AM54&amp;"] ")</t>
  </si>
  <si>
    <t>=IF(AQ54="","","  [Reverse Lookup Name: "&amp;AQ54&amp;"] ")</t>
  </si>
  <si>
    <t>=""&amp;AR54</t>
  </si>
  <si>
    <t>=BB55&amp;BE55&amp;"  "&amp;BG55&amp;"  "&amp;BI55</t>
  </si>
  <si>
    <t>=IF(BD54=1,"Closed Alert: "&amp;BC54,IF(BC54="","", "Open Alert: "&amp;BC54))</t>
  </si>
  <si>
    <t>=IF(BE54="","",BE54)</t>
  </si>
  <si>
    <t>=IF(BF54="","",BF54)</t>
  </si>
  <si>
    <t>=IF(BH54="","","  ["&amp;BG54&amp;": "&amp;BH54&amp;"]")</t>
  </si>
  <si>
    <t>=IF(BJ54="","","  ["&amp;BI54&amp;": "&amp;BJ54&amp;"]")</t>
  </si>
  <si>
    <t>404325746</t>
  </si>
  <si>
    <t>=IF($C56="","",nf($D56,"Event_BeginTime"))</t>
  </si>
  <si>
    <t>=IF($C56="","",nf($D56,"Event_BeginTime")+AD56)</t>
  </si>
  <si>
    <t>=IF($C56="","",nf($D56,"Event_CallDuration")/60)</t>
  </si>
  <si>
    <t>=IF($C56="","",nf($D56,"Event_SourceName"))</t>
  </si>
  <si>
    <t>=IF($C56="","",nf($D56,"Event_CallerName2"))</t>
  </si>
  <si>
    <t>=IF($C56="","",IF(AO56="",AN56,AN56&amp;" "&amp;AO56))</t>
  </si>
  <si>
    <t>=IF($C56="","",nf($D56,"Event_Operator"))</t>
  </si>
  <si>
    <t>=IF($C56="","",nf($D56,"Event_Received"))</t>
  </si>
  <si>
    <t>=IF($C56="","",nf($D56,"Event_Purpose"))</t>
  </si>
  <si>
    <t>=BF57</t>
  </si>
  <si>
    <t>=BE57</t>
  </si>
  <si>
    <t>=BB57</t>
  </si>
  <si>
    <t>=IF($C56="","",IF($Y56="","",HYPERLINK($Y56,"(")))</t>
  </si>
  <si>
    <t>=IF($Z56="","",IF(LEFT($Z56,4)="http",$Z56,"http://"&amp;$Z56))</t>
  </si>
  <si>
    <t>=IF(AC56="ET",0.04166667,IF(AC56="MT",-0.04166667,IF(AC56="PT",-0.08333333,0)))</t>
  </si>
  <si>
    <t>=C56</t>
  </si>
  <si>
    <t>=IF(BA56="","",NL("First","Alerts","Alert_Name","Alert_Id",BA56))</t>
  </si>
  <si>
    <t>=D56</t>
  </si>
  <si>
    <t>=IF($C56="","","Call Note: "&amp;IFERROR(AF57,nf($D57,"Event_Notes"))&amp;AQ57&amp;AM57&amp;AZ57)</t>
  </si>
  <si>
    <t>=NL("First","CLASSIFICATION","value","schema=","machine","primary","1","interactiontypeid","1","ClassificationTypeID","9","InteractionID",AR57)</t>
  </si>
  <si>
    <t>=IF(AM56="","","  [Dealer Response: "&amp;AM56&amp;"] ")</t>
  </si>
  <si>
    <t>=IF(AQ56="","","  [Reverse Lookup Name: "&amp;AQ56&amp;"] ")</t>
  </si>
  <si>
    <t>=""&amp;AR56</t>
  </si>
  <si>
    <t>=BB57&amp;BE57&amp;"  "&amp;BG57&amp;"  "&amp;BI57</t>
  </si>
  <si>
    <t>=IF(BD56=1,"Closed Alert: "&amp;BC56,IF(BC56="","", "Open Alert: "&amp;BC56))</t>
  </si>
  <si>
    <t>=IF(BE56="","",BE56)</t>
  </si>
  <si>
    <t>=IF(BF56="","",BF56)</t>
  </si>
  <si>
    <t>=IF(BH56="","","  ["&amp;BG56&amp;": "&amp;BH56&amp;"]")</t>
  </si>
  <si>
    <t>=IF(BJ56="","","  ["&amp;BI56&amp;": "&amp;BJ56&amp;"]")</t>
  </si>
  <si>
    <t>407906399</t>
  </si>
  <si>
    <t>=IF($C58="","",nf($D58,"Event_BeginTime"))</t>
  </si>
  <si>
    <t>=IF($C58="","",nf($D58,"Event_BeginTime")+AD58)</t>
  </si>
  <si>
    <t>=IF($C58="","",nf($D58,"Event_CallDuration")/60)</t>
  </si>
  <si>
    <t>=IF($C58="","",nf($D58,"Event_SourceName"))</t>
  </si>
  <si>
    <t>=IF($C58="","",nf($D58,"Event_CallerName2"))</t>
  </si>
  <si>
    <t>=IF($C58="","",IF(AO58="",AN58,AN58&amp;" "&amp;AO58))</t>
  </si>
  <si>
    <t>=IF($C58="","",nf($D58,"Event_Operator"))</t>
  </si>
  <si>
    <t>=IF($C58="","",nf($D58,"Event_Received"))</t>
  </si>
  <si>
    <t>=IF($C58="","",nf($D58,"Event_Purpose"))</t>
  </si>
  <si>
    <t>=BF59</t>
  </si>
  <si>
    <t>=BE59</t>
  </si>
  <si>
    <t>=BB59</t>
  </si>
  <si>
    <t>=IF($C58="","",IF($Y58="","",HYPERLINK($Y58,"(")))</t>
  </si>
  <si>
    <t>=IF($Z58="","",IF(LEFT($Z58,4)="http",$Z58,"http://"&amp;$Z58))</t>
  </si>
  <si>
    <t>=IF(AC58="ET",0.04166667,IF(AC58="MT",-0.04166667,IF(AC58="PT",-0.08333333,0)))</t>
  </si>
  <si>
    <t>=C58</t>
  </si>
  <si>
    <t>=IF(BA58="","",NL("First","Alerts","Alert_Name","Alert_Id",BA58))</t>
  </si>
  <si>
    <t>=D58</t>
  </si>
  <si>
    <t>=IF($C58="","","Call Note: "&amp;IFERROR(AF59,nf($D59,"Event_Notes"))&amp;AQ59&amp;AM59&amp;AZ59)</t>
  </si>
  <si>
    <t>=NL("First","CLASSIFICATION","value","schema=","machine","primary","1","interactiontypeid","1","ClassificationTypeID","9","InteractionID",AR59)</t>
  </si>
  <si>
    <t>=IF(AM58="","","  [Dealer Response: "&amp;AM58&amp;"] ")</t>
  </si>
  <si>
    <t>=IF(AQ58="","","  [Reverse Lookup Name: "&amp;AQ58&amp;"] ")</t>
  </si>
  <si>
    <t>=""&amp;AR58</t>
  </si>
  <si>
    <t>=BB59&amp;BE59&amp;"  "&amp;BG59&amp;"  "&amp;BI59</t>
  </si>
  <si>
    <t>=IF(BD58=1,"Closed Alert: "&amp;BC58,IF(BC58="","", "Open Alert: "&amp;BC58))</t>
  </si>
  <si>
    <t>=IF(BE58="","",BE58)</t>
  </si>
  <si>
    <t>=IF(BF58="","",BF58)</t>
  </si>
  <si>
    <t>=IF(BH58="","","  ["&amp;BG58&amp;": "&amp;BH58&amp;"]")</t>
  </si>
  <si>
    <t>=IF(BJ58="","","  ["&amp;BI58&amp;": "&amp;BJ58&amp;"]")</t>
  </si>
  <si>
    <t>408724427</t>
  </si>
  <si>
    <t>=IF($C60="","",nf($D60,"Event_BeginTime"))</t>
  </si>
  <si>
    <t>=IF($C60="","",nf($D60,"Event_BeginTime")+AD60)</t>
  </si>
  <si>
    <t>=IF($C60="","",nf($D60,"Event_CallDuration")/60)</t>
  </si>
  <si>
    <t>=IF($C60="","",nf($D60,"Event_SourceName"))</t>
  </si>
  <si>
    <t>=IF($C60="","",nf($D60,"Event_CallerName2"))</t>
  </si>
  <si>
    <t>=IF($C60="","",IF(AO60="",AN60,AN60&amp;" "&amp;AO60))</t>
  </si>
  <si>
    <t>=IF($C60="","",nf($D60,"Event_Operator"))</t>
  </si>
  <si>
    <t>=IF($C60="","",nf($D60,"Event_Received"))</t>
  </si>
  <si>
    <t>=IF($C60="","",nf($D60,"Event_Purpose"))</t>
  </si>
  <si>
    <t>=BF61</t>
  </si>
  <si>
    <t>=BE61</t>
  </si>
  <si>
    <t>=BB61</t>
  </si>
  <si>
    <t>=IF($C60="","",IF($Y60="","",HYPERLINK($Y60,"(")))</t>
  </si>
  <si>
    <t>=IF($Z60="","",IF(LEFT($Z60,4)="http",$Z60,"http://"&amp;$Z60))</t>
  </si>
  <si>
    <t>=IF(AC60="ET",0.04166667,IF(AC60="MT",-0.04166667,IF(AC60="PT",-0.08333333,0)))</t>
  </si>
  <si>
    <t>=C60</t>
  </si>
  <si>
    <t>=IF(BA60="","",NL("First","Alerts","Alert_Name","Alert_Id",BA60))</t>
  </si>
  <si>
    <t>=D60</t>
  </si>
  <si>
    <t>=IF($C60="","","Call Note: "&amp;IFERROR(AF61,nf($D61,"Event_Notes"))&amp;AQ61&amp;AM61&amp;AZ61)</t>
  </si>
  <si>
    <t>=NL("First","CLASSIFICATION","value","schema=","machine","primary","1","interactiontypeid","1","ClassificationTypeID","9","InteractionID",AR61)</t>
  </si>
  <si>
    <t>=IF(AM60="","","  [Dealer Response: "&amp;AM60&amp;"] ")</t>
  </si>
  <si>
    <t>=IF(AQ60="","","  [Reverse Lookup Name: "&amp;AQ60&amp;"] ")</t>
  </si>
  <si>
    <t>=""&amp;AR60</t>
  </si>
  <si>
    <t>=BB61&amp;BE61&amp;"  "&amp;BG61&amp;"  "&amp;BI61</t>
  </si>
  <si>
    <t>=IF(BD60=1,"Closed Alert: "&amp;BC60,IF(BC60="","", "Open Alert: "&amp;BC60))</t>
  </si>
  <si>
    <t>=IF(BE60="","",BE60)</t>
  </si>
  <si>
    <t>=IF(BF60="","",BF60)</t>
  </si>
  <si>
    <t>=IF(BH60="","","  ["&amp;BG60&amp;": "&amp;BH60&amp;"]")</t>
  </si>
  <si>
    <t>=IF(BJ60="","","  ["&amp;BI60&amp;": "&amp;BJ60&amp;"]")</t>
  </si>
  <si>
    <t>408151015</t>
  </si>
  <si>
    <t>=IF($C62="","",nf($D62,"Event_BeginTime"))</t>
  </si>
  <si>
    <t>=IF($C62="","",nf($D62,"Event_BeginTime")+AD62)</t>
  </si>
  <si>
    <t>=IF($C62="","",nf($D62,"Event_CallDuration")/60)</t>
  </si>
  <si>
    <t>=IF($C62="","",nf($D62,"Event_SourceName"))</t>
  </si>
  <si>
    <t>=IF($C62="","",nf($D62,"Event_CallerName2"))</t>
  </si>
  <si>
    <t>=IF($C62="","",IF(AO62="",AN62,AN62&amp;" "&amp;AO62))</t>
  </si>
  <si>
    <t>=IF($C62="","",nf($D62,"Event_Operator"))</t>
  </si>
  <si>
    <t>=IF($C62="","",nf($D62,"Event_Received"))</t>
  </si>
  <si>
    <t>=IF($C62="","",nf($D62,"Event_Purpose"))</t>
  </si>
  <si>
    <t>=BF63</t>
  </si>
  <si>
    <t>=BE63</t>
  </si>
  <si>
    <t>=BB63</t>
  </si>
  <si>
    <t>=IF($C62="","",IF($Y62="","",HYPERLINK($Y62,"(")))</t>
  </si>
  <si>
    <t>=IF($Z62="","",IF(LEFT($Z62,4)="http",$Z62,"http://"&amp;$Z62))</t>
  </si>
  <si>
    <t>=IF(AC62="ET",0.04166667,IF(AC62="MT",-0.04166667,IF(AC62="PT",-0.08333333,0)))</t>
  </si>
  <si>
    <t>=C62</t>
  </si>
  <si>
    <t>=IF(BA62="","",NL("First","Alerts","Alert_Name","Alert_Id",BA62))</t>
  </si>
  <si>
    <t>=D62</t>
  </si>
  <si>
    <t>=IF($C62="","","Call Note: "&amp;IFERROR(AF63,nf($D63,"Event_Notes"))&amp;AQ63&amp;AM63&amp;AZ63)</t>
  </si>
  <si>
    <t>=NL("First","CLASSIFICATION","value","schema=","machine","primary","1","interactiontypeid","1","ClassificationTypeID","9","InteractionID",AR63)</t>
  </si>
  <si>
    <t>=IF(AM62="","","  [Dealer Response: "&amp;AM62&amp;"] ")</t>
  </si>
  <si>
    <t>=IF(AQ62="","","  [Reverse Lookup Name: "&amp;AQ62&amp;"] ")</t>
  </si>
  <si>
    <t>=""&amp;AR62</t>
  </si>
  <si>
    <t>=BB63&amp;BE63&amp;"  "&amp;BG63&amp;"  "&amp;BI63</t>
  </si>
  <si>
    <t>=IF(BD62=1,"Closed Alert: "&amp;BC62,IF(BC62="","", "Open Alert: "&amp;BC62))</t>
  </si>
  <si>
    <t>=IF(BE62="","",BE62)</t>
  </si>
  <si>
    <t>=IF(BF62="","",BF62)</t>
  </si>
  <si>
    <t>=IF(BH62="","","  ["&amp;BG62&amp;": "&amp;BH62&amp;"]")</t>
  </si>
  <si>
    <t>=IF(BJ62="","","  ["&amp;BI62&amp;": "&amp;BJ62&amp;"]")</t>
  </si>
  <si>
    <t>407824040</t>
  </si>
  <si>
    <t>=IF($C64="","",nf($D64,"Event_BeginTime"))</t>
  </si>
  <si>
    <t>=IF($C64="","",nf($D64,"Event_BeginTime")+AD64)</t>
  </si>
  <si>
    <t>=IF($C64="","",nf($D64,"Event_CallDuration")/60)</t>
  </si>
  <si>
    <t>=IF($C64="","",nf($D64,"Event_SourceName"))</t>
  </si>
  <si>
    <t>=IF($C64="","",nf($D64,"Event_CallerName2"))</t>
  </si>
  <si>
    <t>=IF($C64="","",IF(AO64="",AN64,AN64&amp;" "&amp;AO64))</t>
  </si>
  <si>
    <t>=IF($C64="","",nf($D64,"Event_Operator"))</t>
  </si>
  <si>
    <t>=IF($C64="","",nf($D64,"Event_Received"))</t>
  </si>
  <si>
    <t>=IF($C64="","",nf($D64,"Event_Purpose"))</t>
  </si>
  <si>
    <t>=BF65</t>
  </si>
  <si>
    <t>=BE65</t>
  </si>
  <si>
    <t>=BB65</t>
  </si>
  <si>
    <t>=IF($C64="","",IF($Y64="","",HYPERLINK($Y64,"(")))</t>
  </si>
  <si>
    <t>=IF($Z64="","",IF(LEFT($Z64,4)="http",$Z64,"http://"&amp;$Z64))</t>
  </si>
  <si>
    <t>=IF(AC64="ET",0.04166667,IF(AC64="MT",-0.04166667,IF(AC64="PT",-0.08333333,0)))</t>
  </si>
  <si>
    <t>=C64</t>
  </si>
  <si>
    <t>=IF(BA64="","",NL("First","Alerts","Alert_Name","Alert_Id",BA64))</t>
  </si>
  <si>
    <t>=D64</t>
  </si>
  <si>
    <t>=IF($C64="","","Call Note: "&amp;IFERROR(AF65,nf($D65,"Event_Notes"))&amp;AQ65&amp;AM65&amp;AZ65)</t>
  </si>
  <si>
    <t>=NL("First","CLASSIFICATION","value","schema=","machine","primary","1","interactiontypeid","1","ClassificationTypeID","9","InteractionID",AR65)</t>
  </si>
  <si>
    <t>=IF(AM64="","","  [Dealer Response: "&amp;AM64&amp;"] ")</t>
  </si>
  <si>
    <t>=IF(AQ64="","","  [Reverse Lookup Name: "&amp;AQ64&amp;"] ")</t>
  </si>
  <si>
    <t>=""&amp;AR64</t>
  </si>
  <si>
    <t>=BB65&amp;BE65&amp;"  "&amp;BG65&amp;"  "&amp;BI65</t>
  </si>
  <si>
    <t>=IF(BD64=1,"Closed Alert: "&amp;BC64,IF(BC64="","", "Open Alert: "&amp;BC64))</t>
  </si>
  <si>
    <t>=IF(BE64="","",BE64)</t>
  </si>
  <si>
    <t>=IF(BF64="","",BF64)</t>
  </si>
  <si>
    <t>=IF(BH64="","","  ["&amp;BG64&amp;": "&amp;BH64&amp;"]")</t>
  </si>
  <si>
    <t>=IF(BJ64="","","  ["&amp;BI64&amp;": "&amp;BJ64&amp;"]")</t>
  </si>
  <si>
    <t>404309052</t>
  </si>
  <si>
    <t>=IF($C66="","",nf($D66,"Event_BeginTime"))</t>
  </si>
  <si>
    <t>=IF($C66="","",nf($D66,"Event_BeginTime")+AD66)</t>
  </si>
  <si>
    <t>=IF($C66="","",nf($D66,"Event_CallDuration")/60)</t>
  </si>
  <si>
    <t>=IF($C66="","",nf($D66,"Event_SourceName"))</t>
  </si>
  <si>
    <t>=IF($C66="","",nf($D66,"Event_CallerName2"))</t>
  </si>
  <si>
    <t>=IF($C66="","",IF(AO66="",AN66,AN66&amp;" "&amp;AO66))</t>
  </si>
  <si>
    <t>=IF($C66="","",nf($D66,"Event_Operator"))</t>
  </si>
  <si>
    <t>=IF($C66="","",nf($D66,"Event_Received"))</t>
  </si>
  <si>
    <t>=IF($C66="","",nf($D66,"Event_Purpose"))</t>
  </si>
  <si>
    <t>=BF67</t>
  </si>
  <si>
    <t>=BE67</t>
  </si>
  <si>
    <t>=BB67</t>
  </si>
  <si>
    <t>=IF($C66="","",IF($Y66="","",HYPERLINK($Y66,"(")))</t>
  </si>
  <si>
    <t>=IF($Z66="","",IF(LEFT($Z66,4)="http",$Z66,"http://"&amp;$Z66))</t>
  </si>
  <si>
    <t>=IF(AC66="ET",0.04166667,IF(AC66="MT",-0.04166667,IF(AC66="PT",-0.08333333,0)))</t>
  </si>
  <si>
    <t>=C66</t>
  </si>
  <si>
    <t>=IF(BA66="","",NL("First","Alerts","Alert_Name","Alert_Id",BA66))</t>
  </si>
  <si>
    <t>=D66</t>
  </si>
  <si>
    <t>=IF($C66="","","Call Note: "&amp;IFERROR(AF67,nf($D67,"Event_Notes"))&amp;AQ67&amp;AM67&amp;AZ67)</t>
  </si>
  <si>
    <t>=NL("First","CLASSIFICATION","value","schema=","machine","primary","1","interactiontypeid","1","ClassificationTypeID","9","InteractionID",AR67)</t>
  </si>
  <si>
    <t>=IF(AM66="","","  [Dealer Response: "&amp;AM66&amp;"] ")</t>
  </si>
  <si>
    <t>=IF(AQ66="","","  [Reverse Lookup Name: "&amp;AQ66&amp;"] ")</t>
  </si>
  <si>
    <t>=""&amp;AR66</t>
  </si>
  <si>
    <t>=BB67&amp;BE67&amp;"  "&amp;BG67&amp;"  "&amp;BI67</t>
  </si>
  <si>
    <t>=IF(BD66=1,"Closed Alert: "&amp;BC66,IF(BC66="","", "Open Alert: "&amp;BC66))</t>
  </si>
  <si>
    <t>=IF(BE66="","",BE66)</t>
  </si>
  <si>
    <t>=IF(BF66="","",BF66)</t>
  </si>
  <si>
    <t>=IF(BH66="","","  ["&amp;BG66&amp;": "&amp;BH66&amp;"]")</t>
  </si>
  <si>
    <t>=IF(BJ66="","","  ["&amp;BI66&amp;": "&amp;BJ66&amp;"]")</t>
  </si>
  <si>
    <t>404886512</t>
  </si>
  <si>
    <t>=IF($C68="","",nf($D68,"Event_BeginTime"))</t>
  </si>
  <si>
    <t>=IF($C68="","",nf($D68,"Event_BeginTime")+AD68)</t>
  </si>
  <si>
    <t>=IF($C68="","",nf($D68,"Event_CallDuration")/60)</t>
  </si>
  <si>
    <t>=IF($C68="","",nf($D68,"Event_SourceName"))</t>
  </si>
  <si>
    <t>=IF($C68="","",nf($D68,"Event_CallerName2"))</t>
  </si>
  <si>
    <t>=IF($C68="","",IF(AO68="",AN68,AN68&amp;" "&amp;AO68))</t>
  </si>
  <si>
    <t>=IF($C68="","",nf($D68,"Event_Operator"))</t>
  </si>
  <si>
    <t>=IF($C68="","",nf($D68,"Event_Received"))</t>
  </si>
  <si>
    <t>=IF($C68="","",nf($D68,"Event_Purpose"))</t>
  </si>
  <si>
    <t>=BF69</t>
  </si>
  <si>
    <t>=BE69</t>
  </si>
  <si>
    <t>=BB69</t>
  </si>
  <si>
    <t>=IF($C68="","",IF($Y68="","",HYPERLINK($Y68,"(")))</t>
  </si>
  <si>
    <t>=IF($Z68="","",IF(LEFT($Z68,4)="http",$Z68,"http://"&amp;$Z68))</t>
  </si>
  <si>
    <t>=IF(AC68="ET",0.04166667,IF(AC68="MT",-0.04166667,IF(AC68="PT",-0.08333333,0)))</t>
  </si>
  <si>
    <t>=C68</t>
  </si>
  <si>
    <t>=IF(BA68="","",NL("First","Alerts","Alert_Name","Alert_Id",BA68))</t>
  </si>
  <si>
    <t>=D68</t>
  </si>
  <si>
    <t>=IF($C68="","","Call Note: "&amp;IFERROR(AF69,nf($D69,"Event_Notes"))&amp;AQ69&amp;AM69&amp;AZ69)</t>
  </si>
  <si>
    <t>=NL("First","CLASSIFICATION","value","schema=","machine","primary","1","interactiontypeid","1","ClassificationTypeID","9","InteractionID",AR69)</t>
  </si>
  <si>
    <t>=IF(AM68="","","  [Dealer Response: "&amp;AM68&amp;"] ")</t>
  </si>
  <si>
    <t>=IF(AQ68="","","  [Reverse Lookup Name: "&amp;AQ68&amp;"] ")</t>
  </si>
  <si>
    <t>=""&amp;AR68</t>
  </si>
  <si>
    <t>=BB69&amp;BE69&amp;"  "&amp;BG69&amp;"  "&amp;BI69</t>
  </si>
  <si>
    <t>=IF(BD68=1,"Closed Alert: "&amp;BC68,IF(BC68="","", "Open Alert: "&amp;BC68))</t>
  </si>
  <si>
    <t>=IF(BE68="","",BE68)</t>
  </si>
  <si>
    <t>=IF(BF68="","",BF68)</t>
  </si>
  <si>
    <t>=IF(BH68="","","  ["&amp;BG68&amp;": "&amp;BH68&amp;"]")</t>
  </si>
  <si>
    <t>=IF(BJ68="","","  ["&amp;BI68&amp;": "&amp;BJ68&amp;"]")</t>
  </si>
  <si>
    <t>=NL("First","Events",,"Event_Id",$C24)</t>
  </si>
  <si>
    <t>=NL("First","Events",,"Event_Id",$C26)</t>
  </si>
  <si>
    <t>=NL("First","Events",,"Event_Id",$C28)</t>
  </si>
  <si>
    <t>=NL("First","Events",,"Event_Id",$C30)</t>
  </si>
  <si>
    <t>=NL("First","Events",,"Event_Id",$C32)</t>
  </si>
  <si>
    <t>=NL("First","Events",,"Event_Id",$C34)</t>
  </si>
  <si>
    <t>=NL("First","Events",,"Event_Id",$C36)</t>
  </si>
  <si>
    <t>=NL("First","Events",,"Event_Id",$C38)</t>
  </si>
  <si>
    <t>=NL("First","Events",,"Event_Id",$C40)</t>
  </si>
  <si>
    <t>=NL("First","Events",,"Event_Id",$C42)</t>
  </si>
  <si>
    <t>=NL("First","Events",,"Event_Id",$C44)</t>
  </si>
  <si>
    <t>=NL("First","Events",,"Event_Id",$C46)</t>
  </si>
  <si>
    <t>=NL("First","Events",,"Event_Id",$C48)</t>
  </si>
  <si>
    <t>=NL("First","Events",,"Event_Id",$C50)</t>
  </si>
  <si>
    <t>=NL("First","Events",,"Event_Id",$C52)</t>
  </si>
  <si>
    <t>=NL("First","Events",,"Event_Id",$C54)</t>
  </si>
  <si>
    <t>=NL("First","Events",,"Event_Id",$C56)</t>
  </si>
  <si>
    <t>=NL("First","Events",,"Event_Id",$C58)</t>
  </si>
  <si>
    <t>=NL("First","Events",,"Event_Id",$C60)</t>
  </si>
  <si>
    <t>=NL("First","Events",,"Event_Id",$C62)</t>
  </si>
  <si>
    <t>=NL("First","Events",,"Event_Id",$C64)</t>
  </si>
  <si>
    <t>=NL("First","Events",,"Event_Id",$C66)</t>
  </si>
  <si>
    <t>=NL("First","Events",,"Event_Id",$C68)</t>
  </si>
  <si>
    <t>=NF($D22,"Event_CallRecordingURL")</t>
  </si>
  <si>
    <t>=NF($D24,"Event_CallRecordingURL")</t>
  </si>
  <si>
    <t>=NF($D26,"Event_CallRecordingURL")</t>
  </si>
  <si>
    <t>=NF($D28,"Event_CallRecordingURL")</t>
  </si>
  <si>
    <t>=NF($D30,"Event_CallRecordingURL")</t>
  </si>
  <si>
    <t>=NF($D32,"Event_CallRecordingURL")</t>
  </si>
  <si>
    <t>=NF($D34,"Event_CallRecordingURL")</t>
  </si>
  <si>
    <t>=NF($D36,"Event_CallRecordingURL")</t>
  </si>
  <si>
    <t>=NF($D38,"Event_CallRecordingURL")</t>
  </si>
  <si>
    <t>=NF($D40,"Event_CallRecordingURL")</t>
  </si>
  <si>
    <t>=NF($D42,"Event_CallRecordingURL")</t>
  </si>
  <si>
    <t>=NF($D44,"Event_CallRecordingURL")</t>
  </si>
  <si>
    <t>=NF($D46,"Event_CallRecordingURL")</t>
  </si>
  <si>
    <t>=NF($D48,"Event_CallRecordingURL")</t>
  </si>
  <si>
    <t>=NF($D50,"Event_CallRecordingURL")</t>
  </si>
  <si>
    <t>=NF($D52,"Event_CallRecordingURL")</t>
  </si>
  <si>
    <t>=NF($D54,"Event_CallRecordingURL")</t>
  </si>
  <si>
    <t>=NF($D56,"Event_CallRecordingURL")</t>
  </si>
  <si>
    <t>=NF($D58,"Event_CallRecordingURL")</t>
  </si>
  <si>
    <t>=NF($D60,"Event_CallRecordingURL")</t>
  </si>
  <si>
    <t>=NF($D62,"Event_CallRecordingURL")</t>
  </si>
  <si>
    <t>=NF($D64,"Event_CallRecordingURL")</t>
  </si>
  <si>
    <t>=NF($D66,"Event_CallRecordingURL")</t>
  </si>
  <si>
    <t>=NF($D68,"Event_CallRecordingURL")</t>
  </si>
  <si>
    <t>=NF($D22,"Event_CallerPhoneNumber")</t>
  </si>
  <si>
    <t>=NF($D24,"Event_CallerPhoneNumber")</t>
  </si>
  <si>
    <t>=NF($D26,"Event_CallerPhoneNumber")</t>
  </si>
  <si>
    <t>=NF($D28,"Event_CallerPhoneNumber")</t>
  </si>
  <si>
    <t>=NF($D30,"Event_CallerPhoneNumber")</t>
  </si>
  <si>
    <t>=NF($D32,"Event_CallerPhoneNumber")</t>
  </si>
  <si>
    <t>=NF($D34,"Event_CallerPhoneNumber")</t>
  </si>
  <si>
    <t>=NF($D36,"Event_CallerPhoneNumber")</t>
  </si>
  <si>
    <t>=NF($D38,"Event_CallerPhoneNumber")</t>
  </si>
  <si>
    <t>=NF($D40,"Event_CallerPhoneNumber")</t>
  </si>
  <si>
    <t>=NF($D42,"Event_CallerPhoneNumber")</t>
  </si>
  <si>
    <t>=NF($D44,"Event_CallerPhoneNumber")</t>
  </si>
  <si>
    <t>=NF($D46,"Event_CallerPhoneNumber")</t>
  </si>
  <si>
    <t>=NF($D48,"Event_CallerPhoneNumber")</t>
  </si>
  <si>
    <t>=NF($D50,"Event_CallerPhoneNumber")</t>
  </si>
  <si>
    <t>=NF($D52,"Event_CallerPhoneNumber")</t>
  </si>
  <si>
    <t>=NF($D54,"Event_CallerPhoneNumber")</t>
  </si>
  <si>
    <t>=NF($D56,"Event_CallerPhoneNumber")</t>
  </si>
  <si>
    <t>=NF($D58,"Event_CallerPhoneNumber")</t>
  </si>
  <si>
    <t>=NF($D60,"Event_CallerPhoneNumber")</t>
  </si>
  <si>
    <t>=NF($D62,"Event_CallerPhoneNumber")</t>
  </si>
  <si>
    <t>=NF($D64,"Event_CallerPhoneNumber")</t>
  </si>
  <si>
    <t>=NF($D66,"Event_CallerPhoneNumber")</t>
  </si>
  <si>
    <t>=NF($D68,"Event_CallerPhoneNumber")</t>
  </si>
  <si>
    <t>=NF($D22,"Event_CallerPhone2")</t>
  </si>
  <si>
    <t>=NF($D24,"Event_CallerPhone2")</t>
  </si>
  <si>
    <t>=NF($D26,"Event_CallerPhone2")</t>
  </si>
  <si>
    <t>=NF($D28,"Event_CallerPhone2")</t>
  </si>
  <si>
    <t>=NF($D30,"Event_CallerPhone2")</t>
  </si>
  <si>
    <t>=NF($D32,"Event_CallerPhone2")</t>
  </si>
  <si>
    <t>=NF($D34,"Event_CallerPhone2")</t>
  </si>
  <si>
    <t>=NF($D36,"Event_CallerPhone2")</t>
  </si>
  <si>
    <t>=NF($D38,"Event_CallerPhone2")</t>
  </si>
  <si>
    <t>=NF($D40,"Event_CallerPhone2")</t>
  </si>
  <si>
    <t>=NF($D42,"Event_CallerPhone2")</t>
  </si>
  <si>
    <t>=NF($D44,"Event_CallerPhone2")</t>
  </si>
  <si>
    <t>=NF($D46,"Event_CallerPhone2")</t>
  </si>
  <si>
    <t>=NF($D48,"Event_CallerPhone2")</t>
  </si>
  <si>
    <t>=NF($D50,"Event_CallerPhone2")</t>
  </si>
  <si>
    <t>=NF($D52,"Event_CallerPhone2")</t>
  </si>
  <si>
    <t>=NF($D54,"Event_CallerPhone2")</t>
  </si>
  <si>
    <t>=NF($D56,"Event_CallerPhone2")</t>
  </si>
  <si>
    <t>=NF($D58,"Event_CallerPhone2")</t>
  </si>
  <si>
    <t>=NF($D60,"Event_CallerPhone2")</t>
  </si>
  <si>
    <t>=NF($D62,"Event_CallerPhone2")</t>
  </si>
  <si>
    <t>=NF($D64,"Event_CallerPhone2")</t>
  </si>
  <si>
    <t>=NF($D66,"Event_CallerPhone2")</t>
  </si>
  <si>
    <t>=NF($D68,"Event_CallerPhone2")</t>
  </si>
  <si>
    <t>=NF($D22,"Event_AlertSent")</t>
  </si>
  <si>
    <t>=NF($D24,"Event_AlertSent")</t>
  </si>
  <si>
    <t>=NF($D26,"Event_AlertSent")</t>
  </si>
  <si>
    <t>=NF($D28,"Event_AlertSent")</t>
  </si>
  <si>
    <t>=NF($D30,"Event_AlertSent")</t>
  </si>
  <si>
    <t>=NF($D32,"Event_AlertSent")</t>
  </si>
  <si>
    <t>=NF($D34,"Event_AlertSent")</t>
  </si>
  <si>
    <t>=NF($D36,"Event_AlertSent")</t>
  </si>
  <si>
    <t>=NF($D38,"Event_AlertSent")</t>
  </si>
  <si>
    <t>=NF($D40,"Event_AlertSent")</t>
  </si>
  <si>
    <t>=NF($D42,"Event_AlertSent")</t>
  </si>
  <si>
    <t>=NF($D44,"Event_AlertSent")</t>
  </si>
  <si>
    <t>=NF($D46,"Event_AlertSent")</t>
  </si>
  <si>
    <t>=NF($D48,"Event_AlertSent")</t>
  </si>
  <si>
    <t>=NF($D50,"Event_AlertSent")</t>
  </si>
  <si>
    <t>=NF($D52,"Event_AlertSent")</t>
  </si>
  <si>
    <t>=NF($D54,"Event_AlertSent")</t>
  </si>
  <si>
    <t>=NF($D56,"Event_AlertSent")</t>
  </si>
  <si>
    <t>=NF($D58,"Event_AlertSent")</t>
  </si>
  <si>
    <t>=NF($D60,"Event_AlertSent")</t>
  </si>
  <si>
    <t>=NF($D62,"Event_AlertSent")</t>
  </si>
  <si>
    <t>=NF($D64,"Event_AlertSent")</t>
  </si>
  <si>
    <t>=NF($D66,"Event_AlertSent")</t>
  </si>
  <si>
    <t>=NF($D68,"Event_AlertSent")</t>
  </si>
  <si>
    <t>=NF($D22,"Event_CallerName")</t>
  </si>
  <si>
    <t>=NF($D24,"Event_CallerName")</t>
  </si>
  <si>
    <t>=NF($D26,"Event_CallerName")</t>
  </si>
  <si>
    <t>=NF($D28,"Event_CallerName")</t>
  </si>
  <si>
    <t>=NF($D30,"Event_CallerName")</t>
  </si>
  <si>
    <t>=NF($D32,"Event_CallerName")</t>
  </si>
  <si>
    <t>=NF($D34,"Event_CallerName")</t>
  </si>
  <si>
    <t>=NF($D36,"Event_CallerName")</t>
  </si>
  <si>
    <t>=NF($D38,"Event_CallerName")</t>
  </si>
  <si>
    <t>=NF($D40,"Event_CallerName")</t>
  </si>
  <si>
    <t>=NF($D42,"Event_CallerName")</t>
  </si>
  <si>
    <t>=NF($D44,"Event_CallerName")</t>
  </si>
  <si>
    <t>=NF($D46,"Event_CallerName")</t>
  </si>
  <si>
    <t>=NF($D48,"Event_CallerName")</t>
  </si>
  <si>
    <t>=NF($D50,"Event_CallerName")</t>
  </si>
  <si>
    <t>=NF($D52,"Event_CallerName")</t>
  </si>
  <si>
    <t>=NF($D54,"Event_CallerName")</t>
  </si>
  <si>
    <t>=NF($D56,"Event_CallerName")</t>
  </si>
  <si>
    <t>=NF($D58,"Event_CallerName")</t>
  </si>
  <si>
    <t>=NF($D60,"Event_CallerName")</t>
  </si>
  <si>
    <t>=NF($D62,"Event_CallerName")</t>
  </si>
  <si>
    <t>=NF($D64,"Event_CallerName")</t>
  </si>
  <si>
    <t>=NF($D66,"Event_CallerName")</t>
  </si>
  <si>
    <t>=NF($D68,"Event_CallerName")</t>
  </si>
  <si>
    <t>=NF($D22,AZ$21)</t>
  </si>
  <si>
    <t>=NF($D24,AZ$21)</t>
  </si>
  <si>
    <t>=NF($D26,AZ$21)</t>
  </si>
  <si>
    <t>=NF($D28,AZ$21)</t>
  </si>
  <si>
    <t>=NF($D30,AZ$21)</t>
  </si>
  <si>
    <t>=NF($D32,AZ$21)</t>
  </si>
  <si>
    <t>=NF($D34,AZ$21)</t>
  </si>
  <si>
    <t>=NF($D36,AZ$21)</t>
  </si>
  <si>
    <t>=NF($D38,AZ$21)</t>
  </si>
  <si>
    <t>=NF($D40,AZ$21)</t>
  </si>
  <si>
    <t>=NF($D42,AZ$21)</t>
  </si>
  <si>
    <t>=NF($D44,AZ$21)</t>
  </si>
  <si>
    <t>=NF($D46,AZ$21)</t>
  </si>
  <si>
    <t>=NF($D48,AZ$21)</t>
  </si>
  <si>
    <t>=NF($D50,AZ$21)</t>
  </si>
  <si>
    <t>=NF($D52,AZ$21)</t>
  </si>
  <si>
    <t>=NF($D54,AZ$21)</t>
  </si>
  <si>
    <t>=NF($D56,AZ$21)</t>
  </si>
  <si>
    <t>=NF($D58,AZ$21)</t>
  </si>
  <si>
    <t>=NF($D60,AZ$21)</t>
  </si>
  <si>
    <t>=NF($D62,AZ$21)</t>
  </si>
  <si>
    <t>=NF($D64,AZ$21)</t>
  </si>
  <si>
    <t>=NF($D66,AZ$21)</t>
  </si>
  <si>
    <t>=NF($D68,AZ$21)</t>
  </si>
  <si>
    <t>=NF($D22,BA$21)</t>
  </si>
  <si>
    <t>=NF($D24,BA$21)</t>
  </si>
  <si>
    <t>=NF($D26,BA$21)</t>
  </si>
  <si>
    <t>=NF($D28,BA$21)</t>
  </si>
  <si>
    <t>=NF($D30,BA$21)</t>
  </si>
  <si>
    <t>=NF($D32,BA$21)</t>
  </si>
  <si>
    <t>=NF($D34,BA$21)</t>
  </si>
  <si>
    <t>=NF($D36,BA$21)</t>
  </si>
  <si>
    <t>=NF($D38,BA$21)</t>
  </si>
  <si>
    <t>=NF($D40,BA$21)</t>
  </si>
  <si>
    <t>=NF($D42,BA$21)</t>
  </si>
  <si>
    <t>=NF($D44,BA$21)</t>
  </si>
  <si>
    <t>=NF($D46,BA$21)</t>
  </si>
  <si>
    <t>=NF($D48,BA$21)</t>
  </si>
  <si>
    <t>=NF($D50,BA$21)</t>
  </si>
  <si>
    <t>=NF($D52,BA$21)</t>
  </si>
  <si>
    <t>=NF($D54,BA$21)</t>
  </si>
  <si>
    <t>=NF($D56,BA$21)</t>
  </si>
  <si>
    <t>=NF($D58,BA$21)</t>
  </si>
  <si>
    <t>=NF($D60,BA$21)</t>
  </si>
  <si>
    <t>=NF($D62,BA$21)</t>
  </si>
  <si>
    <t>=NF($D64,BA$21)</t>
  </si>
  <si>
    <t>=NF($D66,BA$21)</t>
  </si>
  <si>
    <t>=NF($D68,BA$21)</t>
  </si>
  <si>
    <t>=NF($D22,BB$21)</t>
  </si>
  <si>
    <t>=NF($D24,BB$21)</t>
  </si>
  <si>
    <t>=NF($D26,BB$21)</t>
  </si>
  <si>
    <t>=NF($D28,BB$21)</t>
  </si>
  <si>
    <t>=NF($D30,BB$21)</t>
  </si>
  <si>
    <t>=NF($D32,BB$21)</t>
  </si>
  <si>
    <t>=NF($D34,BB$21)</t>
  </si>
  <si>
    <t>=NF($D36,BB$21)</t>
  </si>
  <si>
    <t>=NF($D38,BB$21)</t>
  </si>
  <si>
    <t>=NF($D40,BB$21)</t>
  </si>
  <si>
    <t>=NF($D42,BB$21)</t>
  </si>
  <si>
    <t>=NF($D44,BB$21)</t>
  </si>
  <si>
    <t>=NF($D46,BB$21)</t>
  </si>
  <si>
    <t>=NF($D48,BB$21)</t>
  </si>
  <si>
    <t>=NF($D50,BB$21)</t>
  </si>
  <si>
    <t>=NF($D52,BB$21)</t>
  </si>
  <si>
    <t>=NF($D54,BB$21)</t>
  </si>
  <si>
    <t>=NF($D56,BB$21)</t>
  </si>
  <si>
    <t>=NF($D58,BB$21)</t>
  </si>
  <si>
    <t>=NF($D60,BB$21)</t>
  </si>
  <si>
    <t>=NF($D62,BB$21)</t>
  </si>
  <si>
    <t>=NF($D64,BB$21)</t>
  </si>
  <si>
    <t>=NF($D66,BB$21)</t>
  </si>
  <si>
    <t>=NF($D68,BB$21)</t>
  </si>
  <si>
    <t>=NF($D22,BD$21)</t>
  </si>
  <si>
    <t>=NF($D24,BD$21)</t>
  </si>
  <si>
    <t>=NF($D26,BD$21)</t>
  </si>
  <si>
    <t>=NF($D28,BD$21)</t>
  </si>
  <si>
    <t>=NF($D30,BD$21)</t>
  </si>
  <si>
    <t>=NF($D32,BD$21)</t>
  </si>
  <si>
    <t>=NF($D34,BD$21)</t>
  </si>
  <si>
    <t>=NF($D36,BD$21)</t>
  </si>
  <si>
    <t>=NF($D38,BD$21)</t>
  </si>
  <si>
    <t>=NF($D40,BD$21)</t>
  </si>
  <si>
    <t>=NF($D42,BD$21)</t>
  </si>
  <si>
    <t>=NF($D44,BD$21)</t>
  </si>
  <si>
    <t>=NF($D46,BD$21)</t>
  </si>
  <si>
    <t>=NF($D48,BD$21)</t>
  </si>
  <si>
    <t>=NF($D50,BD$21)</t>
  </si>
  <si>
    <t>=NF($D52,BD$21)</t>
  </si>
  <si>
    <t>=NF($D54,BD$21)</t>
  </si>
  <si>
    <t>=NF($D56,BD$21)</t>
  </si>
  <si>
    <t>=NF($D58,BD$21)</t>
  </si>
  <si>
    <t>=NF($D60,BD$21)</t>
  </si>
  <si>
    <t>=NF($D62,BD$21)</t>
  </si>
  <si>
    <t>=NF($D64,BD$21)</t>
  </si>
  <si>
    <t>=NF($D66,BD$21)</t>
  </si>
  <si>
    <t>=NF($D68,BD$21)</t>
  </si>
  <si>
    <t>=NF($D22,BH$21)</t>
  </si>
  <si>
    <t>=NF($D24,BH$21)</t>
  </si>
  <si>
    <t>=NF($D26,BH$21)</t>
  </si>
  <si>
    <t>=NF($D28,BH$21)</t>
  </si>
  <si>
    <t>=NF($D30,BH$21)</t>
  </si>
  <si>
    <t>=NF($D32,BH$21)</t>
  </si>
  <si>
    <t>=NF($D34,BH$21)</t>
  </si>
  <si>
    <t>=NF($D36,BH$21)</t>
  </si>
  <si>
    <t>=NF($D38,BH$21)</t>
  </si>
  <si>
    <t>=NF($D40,BH$21)</t>
  </si>
  <si>
    <t>=NF($D42,BH$21)</t>
  </si>
  <si>
    <t>=NF($D44,BH$21)</t>
  </si>
  <si>
    <t>=NF($D46,BH$21)</t>
  </si>
  <si>
    <t>=NF($D48,BH$21)</t>
  </si>
  <si>
    <t>=NF($D50,BH$21)</t>
  </si>
  <si>
    <t>=NF($D52,BH$21)</t>
  </si>
  <si>
    <t>=NF($D54,BH$21)</t>
  </si>
  <si>
    <t>=NF($D56,BH$21)</t>
  </si>
  <si>
    <t>=NF($D58,BH$21)</t>
  </si>
  <si>
    <t>=NF($D60,BH$21)</t>
  </si>
  <si>
    <t>=NF($D62,BH$21)</t>
  </si>
  <si>
    <t>=NF($D64,BH$21)</t>
  </si>
  <si>
    <t>=NF($D66,BH$21)</t>
  </si>
  <si>
    <t>=NF($D68,BH$21)</t>
  </si>
  <si>
    <t>=NF($D22,BJ$21)</t>
  </si>
  <si>
    <t>=NF($D24,BJ$21)</t>
  </si>
  <si>
    <t>=NF($D26,BJ$21)</t>
  </si>
  <si>
    <t>=NF($D28,BJ$21)</t>
  </si>
  <si>
    <t>=NF($D30,BJ$21)</t>
  </si>
  <si>
    <t>=NF($D32,BJ$21)</t>
  </si>
  <si>
    <t>=NF($D34,BJ$21)</t>
  </si>
  <si>
    <t>=NF($D36,BJ$21)</t>
  </si>
  <si>
    <t>=NF($D38,BJ$21)</t>
  </si>
  <si>
    <t>=NF($D40,BJ$21)</t>
  </si>
  <si>
    <t>=NF($D42,BJ$21)</t>
  </si>
  <si>
    <t>=NF($D44,BJ$21)</t>
  </si>
  <si>
    <t>=NF($D46,BJ$21)</t>
  </si>
  <si>
    <t>=NF($D48,BJ$21)</t>
  </si>
  <si>
    <t>=NF($D50,BJ$21)</t>
  </si>
  <si>
    <t>=NF($D52,BJ$21)</t>
  </si>
  <si>
    <t>=NF($D54,BJ$21)</t>
  </si>
  <si>
    <t>=NF($D56,BJ$21)</t>
  </si>
  <si>
    <t>=NF($D58,BJ$21)</t>
  </si>
  <si>
    <t>=NF($D60,BJ$21)</t>
  </si>
  <si>
    <t>=NF($D62,BJ$21)</t>
  </si>
  <si>
    <t>=NF($D64,BJ$21)</t>
  </si>
  <si>
    <t>=NF($D66,BJ$21)</t>
  </si>
  <si>
    <t>=NF($D68,BJ$21)</t>
  </si>
  <si>
    <t>=NL("First","EventVehicleData",BE$21,"Event_Id",$C24)</t>
  </si>
  <si>
    <t>=NL("First","EventVehicleData",BE$21,"Event_Id",$C26)</t>
  </si>
  <si>
    <t>=NL("First","EventVehicleData",BE$21,"Event_Id",$C28)</t>
  </si>
  <si>
    <t>=NL("First","EventVehicleData",BE$21,"Event_Id",$C30)</t>
  </si>
  <si>
    <t>=NL("First","EventVehicleData",BE$21,"Event_Id",$C32)</t>
  </si>
  <si>
    <t>=NL("First","EventVehicleData",BE$21,"Event_Id",$C34)</t>
  </si>
  <si>
    <t>=NL("First","EventVehicleData",BE$21,"Event_Id",$C36)</t>
  </si>
  <si>
    <t>=NL("First","EventVehicleData",BE$21,"Event_Id",$C38)</t>
  </si>
  <si>
    <t>=NL("First","EventVehicleData",BE$21,"Event_Id",$C40)</t>
  </si>
  <si>
    <t>=NL("First","EventVehicleData",BE$21,"Event_Id",$C42)</t>
  </si>
  <si>
    <t>=NL("First","EventVehicleData",BE$21,"Event_Id",$C44)</t>
  </si>
  <si>
    <t>=NL("First","EventVehicleData",BE$21,"Event_Id",$C46)</t>
  </si>
  <si>
    <t>=NL("First","EventVehicleData",BE$21,"Event_Id",$C48)</t>
  </si>
  <si>
    <t>=NL("First","EventVehicleData",BE$21,"Event_Id",$C50)</t>
  </si>
  <si>
    <t>=NL("First","EventVehicleData",BE$21,"Event_Id",$C52)</t>
  </si>
  <si>
    <t>=NL("First","EventVehicleData",BE$21,"Event_Id",$C54)</t>
  </si>
  <si>
    <t>=NL("First","EventVehicleData",BE$21,"Event_Id",$C56)</t>
  </si>
  <si>
    <t>=NL("First","EventVehicleData",BE$21,"Event_Id",$C58)</t>
  </si>
  <si>
    <t>=NL("First","EventVehicleData",BE$21,"Event_Id",$C60)</t>
  </si>
  <si>
    <t>=NL("First","EventVehicleData",BE$21,"Event_Id",$C62)</t>
  </si>
  <si>
    <t>=NL("First","EventVehicleData",BE$21,"Event_Id",$C64)</t>
  </si>
  <si>
    <t>=NL("First","EventVehicleData",BE$21,"Event_Id",$C66)</t>
  </si>
  <si>
    <t>=NL("First","EventVehicleData",BE$21,"Event_Id",$C68)</t>
  </si>
  <si>
    <t>=NL("First","EventVehicleData",BF$21,"Event_Id",$C24)</t>
  </si>
  <si>
    <t>=NL("First","EventVehicleData",BF$21,"Event_Id",$C26)</t>
  </si>
  <si>
    <t>=NL("First","EventVehicleData",BF$21,"Event_Id",$C28)</t>
  </si>
  <si>
    <t>=NL("First","EventVehicleData",BF$21,"Event_Id",$C30)</t>
  </si>
  <si>
    <t>=NL("First","EventVehicleData",BF$21,"Event_Id",$C32)</t>
  </si>
  <si>
    <t>=NL("First","EventVehicleData",BF$21,"Event_Id",$C34)</t>
  </si>
  <si>
    <t>=NL("First","EventVehicleData",BF$21,"Event_Id",$C36)</t>
  </si>
  <si>
    <t>=NL("First","EventVehicleData",BF$21,"Event_Id",$C38)</t>
  </si>
  <si>
    <t>=NL("First","EventVehicleData",BF$21,"Event_Id",$C40)</t>
  </si>
  <si>
    <t>=NL("First","EventVehicleData",BF$21,"Event_Id",$C42)</t>
  </si>
  <si>
    <t>=NL("First","EventVehicleData",BF$21,"Event_Id",$C44)</t>
  </si>
  <si>
    <t>=NL("First","EventVehicleData",BF$21,"Event_Id",$C46)</t>
  </si>
  <si>
    <t>=NL("First","EventVehicleData",BF$21,"Event_Id",$C48)</t>
  </si>
  <si>
    <t>=NL("First","EventVehicleData",BF$21,"Event_Id",$C50)</t>
  </si>
  <si>
    <t>=NL("First","EventVehicleData",BF$21,"Event_Id",$C52)</t>
  </si>
  <si>
    <t>=NL("First","EventVehicleData",BF$21,"Event_Id",$C54)</t>
  </si>
  <si>
    <t>=NL("First","EventVehicleData",BF$21,"Event_Id",$C56)</t>
  </si>
  <si>
    <t>=NL("First","EventVehicleData",BF$21,"Event_Id",$C58)</t>
  </si>
  <si>
    <t>=NL("First","EventVehicleData",BF$21,"Event_Id",$C60)</t>
  </si>
  <si>
    <t>=NL("First","EventVehicleData",BF$21,"Event_Id",$C62)</t>
  </si>
  <si>
    <t>=NL("First","EventVehicleData",BF$21,"Event_Id",$C64)</t>
  </si>
  <si>
    <t>=NL("First","EventVehicleData",BF$21,"Event_Id",$C66)</t>
  </si>
  <si>
    <t>=NL("First","EventVehicleData",BF$21,"Event_Id",$C68)</t>
  </si>
  <si>
    <t>Auto+Hide+Values+Formulas=Sheet6,Sheet3,Sheet4+FormulasOnly</t>
  </si>
  <si>
    <t>=NL("first","Accounts","Account_Id","Account_Number",$C$7)</t>
  </si>
  <si>
    <t>="CallRevu Strong Close Report for " &amp; NL("First","Accounts","Account_CompanyName","Account_Number",$C$7)</t>
  </si>
  <si>
    <t>5/1/2024..5/29/2024</t>
  </si>
  <si>
    <t>||"Filter","Accounts","Account_ParentNumber","account_parentnumber","&lt;&gt;111111111","","","","","","","","","","","","","","","","","",""</t>
  </si>
  <si>
    <t/>
  </si>
  <si>
    <t>Time Period Reported:  May 01 Through May 28 2024</t>
  </si>
  <si>
    <t>ET</t>
  </si>
  <si>
    <t>The customer called Benson Nissan of Spartanburg to inquire about the availability of a tax credit for purchasing a pre-owned vehicle. The agent explained that they have limited experience with applying the tax credit to pre-owned vehicles but would be willing to assist the customer and their CPA in obtaining the necessary information. The customer mentioned that they were interested in buying a car from the dealership and wanted to explore the possibility of applying the tax credit to the purchase. The agent agreed to look into the matter and promised to provide a definitive answer the following day. The customer expressed gratitude and mentioned that the car would be a graduation present for their daughter.</t>
  </si>
  <si>
    <t>The customer called Benson Nissan of Spartanburg to inquire about Christian Norman. The agent transferred the call to Christian Norman. The customer, Sidney, mentioned that they had visited the dealership and looked at a Kia Sorento. Sidney asked about the process of purchasing the car and if it was still available. Christian Norman assured Sidney that they would take care of everything and expressed excitement about hearing back from them. Sidney thanked Christian and ended the call.</t>
  </si>
  <si>
    <t>The customer, Bobby, called Benson Nissan of Spartanburg to inquire about a specific vehicle, the Nissan Titan Pro-4X. He asked if there were any incentives or discounts available for that vehicle. The agent checked and confirmed that there is a discount available, bringing the price down to $40,000 before taxes and tags. However, the agent informed Bobby that in order to receive the discount, he would need to finance through Nissan. Bobby clarified that if he used his own financing, he would not be eligible for the discount and would have to pay the price listed on the sticker. Bobby decided not to proceed with the purchase as he preferred to use his own financing and get a better rate elsewhere. The conversation ended with the agent thanking Bobby and saying goodbye.</t>
  </si>
  <si>
    <t>The customer called Benson Nissan of Spartanburg to inquire about a 2014 Nissan Ultima. The agent transferred the call to Eddie who confirmed the car was in stock and had 160,000 miles. Eddie asked for the customer's name and phone number to send a video or picture of the car. The customer provided the information and Eddie said he would check the car and send a video. The customer confirmed they were leaving soon and Eddie said he would call back in a few minutes with an update.</t>
  </si>
  <si>
    <t>The customer called Benson Nissan of Spartanburg to inquire about a used Nissan Altima for sale. The agent informed the customer that the specific Altima he was interested in had been sold earlier that day. The customer expressed his desire to purchase a smaller car around the same price range and mentioned that he wanted to pay cash or finance up to $7,000. The agent suggested a few options, including a 2015 Kia Soul and a 2014 Nissan Juke, but the customer was looking for something with better gas mileage. The agent mentioned a 2019 Nissan Sentra and assured the customer that financing would be possible if he could provide proof of income. The customer expressed interest in the Kia Soul and requested pictures or a link to the website. The agent agreed to keep an eye out for a car within the customer's budget and preferences.</t>
  </si>
  <si>
    <t>A customer called Benson Nissan of Spartanburg and asked to speak to James Martin. The agent transferred the call to James, who spoke with the customer, Bill. Bill mentioned that he had referred someone named Josh Crum to James for a used car purchase. James asked for Josh's last name and the stock number of the car he was interested in. The customer provided the information and promised to try and get Josh's phone number. The call ended with James thanking the customer and saying goodbye.</t>
  </si>
  <si>
    <t>The customer called Benson Nissan of Spartanburg to inquire about used cars within a $10,000 budget. The agent transferred the call to James Martin, who provided information on available vehicles. They discussed a 2018 Mitsubishi Mirage with under 29,000 miles for $7,300 and a 2017 Hyundai Accent for $10,200. The customer asked if they could view the cars on the dealership's website, and the agent confirmed that they could. The customer mentioned they would take their daughter to see the cars and would potentially visit on Monday. The conversation ended with the agent thanking the customer and saying goodbye.</t>
  </si>
  <si>
    <t>The customer, Greg, called Benson Nissan of Spartanburg to speak with Mike Smith. He was transferred to Ken, who informed him that Mike was not available. Greg mentioned an article he saw about Nissan encouraging dealers to sell 2024 models at a 10 to 15% discount. Ken had not seen the article but said they might be able to offer a discount depending on the vehicle. Greg mentioned that he was looking to buy in cash. Ken said he would check with his GM and call Greg back with more information. Greg thanked him and ended the call.</t>
  </si>
  <si>
    <t>The customer called Benson Nissan of Spartanburg to inquire about a 2023 Nissan Altima for his daughter. He mentioned that he had previously purchased five cars from them and his daughter had bought one as well. He provided the sales manager, Mike, with the details of the car, including the price of $24,000 and some dollars, and mentioned that the list price was around $27,000 with a discount. The customer described the features of the car, such as safety features and a good radio system, but mentioned that he didn't like the wheel covers. The sales manager asked if it was an SV model, and the customer said he would check and confirmed that it was a front-wheel-drive sedan. The sales manager noted down the information and said he would call the customer back in about 10 minutes after finishing up with another customer. The customer provided his phone number as 828-429-1893.</t>
  </si>
  <si>
    <t>The customer called Benson Nissan of Spartanburg and asked for Mike Smith. After being transferred, the customer inquired about the new Armada and Pathfinder models and expressed interest in the Armada. The agent asked about a down payment and the customer preferred not to put any money down. The agent promised to call back in 20 minutes with more information. The customer requested to complete the process over the phone instead of driving to the dealership. The agent agreed and said they would call back.</t>
  </si>
  <si>
    <t>The customer called Benson Nissan of Spartanburg to inquire about obtaining a bill of sale for a vehicle they were interested in. They provided the stock number for a 2023 Nissan Frontier and their name, Carlos Ramos. The agent, Nicky, asked if they were looking to register the vehicle in South Carolina and if they planned to finance with the dealership or someone else. Carlos mentioned that he would be financing with a credit union. Nicky asked for Carlos' email address and phone number. They discussed the option of showing the vehicle to Carlos so he could get an idea of what it would look like. Nicky said they would send a text message with the details and follow up with Carlos later. The conversation ended with Carlos thanking Nicky and saying goodbye.</t>
  </si>
  <si>
    <t>The customer called Benson Nissan of Spartanburg and asked for assistance with finding a Pathfinder in either black or white with brown interior and captain's chairs. The agent asked for the customer's phone number and found out that they had previously worked with Shiva. The agent transferred the call to Shiva, who confirmed the customer's request and said she would let her manager know. Shiva informed the customer that she would call back in a few minutes after working with the customers on the car lot. The call ended with the customer thanking Shiva.</t>
  </si>
  <si>
    <t>The customer called Benson Nissan of Spartanburg to inquire about the Benson benefits for a 23 Nissan Altima listed online. The agent searched for the vehicle but could not find it and offered a 22 Nissan Altima SR with a sunroof instead. The customer was interested but concerned about the price and additional fees such as taxes, registration, and certification. The agent explained that certification would provide an additional warranty and the customer agreed to call back later with their phone number to discuss further.</t>
  </si>
  <si>
    <t>The customer, Nancy from Nissan North America, called Benson Nissan of Spartanburg to speak with an internet sales representative. She had been transferred to voicemail twice and needed someone to speak with a customer named Tommy Glover who was holding on her back line. The agent, Sierra, agreed to transfer Tommy to speak with him. Nancy provided Tommy's contact information and his preferences for a preowned vehicle. She mentioned that Tommy likes blue or white exteriors, cloth seats, heated seats, and remote engine start. Nancy forwarded this information to Sierra and Eddie's name was mentioned as the point of contact. The conversation ended with Nancy instructing Tommy to reach out to Eddie.</t>
  </si>
  <si>
    <t>The customer, Danielle Santini, calls Benson Nissan of Spartanburg and is transferred to Leah. Danielle mentions that she has health issues but is feeling strong. She discusses her husband, Anthony, who has been in contact with Leah. Danielle expresses her desire to buy a car instead of leasing. Leah provides options for retail payments with zero out of pocket. Danielle asks about 0% financing and Leah checks for available options. Danielle asks if she can call back and Leah agrees. The conversation ends with a friendly goodbye.</t>
  </si>
  <si>
    <t>The customer called Benson Nissan of Spartanburg looking for a used Jeep. The agent transferred the call to the appropriate department. The customer specified that they were interested in a Jeep Cherokee or Grand Cherokee. The agent confirmed the customer's name as Teresa Anderson. The agent checked their inventory and mentioned an 18 Jeep Cherokee Trailhawk and a 22 Jeep Wrangler Unlimited Rubicon. The customer expressed dislike for the Wrangler and Rubicon models and preferred the Grand Cherokee or Cherokee. The agent mentioned an older Jeep Grand Cherokee Limited and an 18 Cherokee Trailhawk in stock. The customer asked about the price of the 18 Trailhawk and mentioned a budget of around $28,000. The agent said they would look for options within that budget and mentioned they also buy from individuals. The call ended with the agent thanking the customer and saying they would call back if they found anything.</t>
  </si>
  <si>
    <t>The customer, Thomas Turner, called Benson Nissan of Spartanburg to discuss purchasing a used vehicle. The agent, Santana, confirmed that Thomas was interested in a Nissan Rogue. Thomas mentioned that he had spoken to Santana the previous day and expressed his desire for lower payments. Santana asked if Thomas had any money to put down, to which Thomas replied that he did not currently have a car. Santana suggested a down payment of $2000, and Thomas agreed to proceed with that amount. The conversation ended with a confirmation of the down payment and a thank you.</t>
  </si>
  <si>
    <t>The customer called Benson Nissan of Spartanburg to inquire about a 2020 Telluride LX that she saw online. The agent transferred the call to a salesperson who confirmed that the black 2020 Telluride LX with stock number B was still available. The agent offered to send a video of the car's interior and exterior to the customer and provided his name (Tyler Moss) and personal cell number (864-436-4723) for further communication. The customer expressed interest in the mileage and front-wheel drive of the vehicle and mentioned that she would come for a test drive if the video looked good. She provided her name (Barbara Garrett) and phone number to the agent. The customer also asked about the warranty and certification options, to which the agent explained that the vehicle could be certified for an additional cost and serviced at any Kia dealership. The conversation ended with the agent sending a message to the customer to confirm if she could be contacted via text message.</t>
  </si>
  <si>
    <t>The customer called Benson Nissan of Spartanburg to inquire about a 2015 Nissan Altima listed for $11,000 to $29,000. The agent transferred the call to sales but informed the customer that the vehicle had already been sold. The customer asked if there were any similar vehicles available in the price range of $12,000 to $15,000. The agent confirmed that there were a couple of options and requested the customer's name and phone number to send pictures. The customer provided their information and mentioned their preference for non-American made cars, excluding Ford Fusion or Ford Focus. The agent assured the customer that they would send the pictures and the call ended.</t>
  </si>
  <si>
    <t>The customer, Nick, called Benson Nissan of Spartanburg to speak with one of the Nissan sales managers. He introduced himself as Nick from Morristown Nissan and asked for assistance with a Frontier. The agent asked for the last six digits of the VIN and confirmed that the vehicle was a gun metallic four by four SV with a long bed. Nick mentioned putting the deal together and asked for the agent's name, which was Alex. Nick requested a phone number to text, and Alex provided his cell number, 864-419-9445. Nick agreed to send a text and expressed his interest in working with them. Alex asked Nick to text him and confirmed his name again. Nick thanked Alex, and the conversation ended.</t>
  </si>
  <si>
    <t>The customer called Benson Nissan of Spartanburg to inquire about the prices of a Nissan Frontier. The agent confirmed the customer's preference for a crew cab with four-wheel drive and determined that the customer wanted a brand new vehicle. The customer, Anne Rental, mentioned that she was located in North Carolina. The agent, who also lived in Hendersonville, suggested that the customer visit the dealership for the best deals. However, the customer wanted to get an idea of the prices before making the trip. The agent provided a ballpark figure of just over $40,000 for a Nissan Frontier with four-wheel drive. The customer thanked the agent and stated that she would not be able to visit the dealership that day. The agent encouraged the customer to reach out when she was ready to make a purchase.</t>
  </si>
  <si>
    <t>The customer, Elizabeth Kelly, called Benson Nissan of Spartanburg and spoke with a sales manager named Kim. Elizabeth expressed interest in purchasing a hatchback car that she can pull her wheelchair into, as she is disabled. She mentioned seeing a commercial about the Nissan Leaf and the 0% financing offer. Kim suggested meeting the next morning to discuss her needs and explore electric and hybrid options. Elizabeth mentioned that she will have an inheritance coming in and plans to put $9,000 down on the car. They agreed to meet at 10:00 AM at Benson Nissan on Pine Street. Kim sent a text message to Elizabeth, but she did not receive it due to an outdated phone number. They updated her contact information and email address. Elizabeth mentioned that she occasionally goes on road trips and is interested in the convenience of charging the car while eating at a restaurant. Kim advised her to unlock her credit for the car purchase and they ended the call.</t>
  </si>
  <si>
    <t>The customer called Benson Nissan of Spartanburg to inquire about a 2020 Nissan Versa with a five-speed manual transmission trim that they had missed out on a few months ago. The agent transferred the call to Mike, who informed the customer that they currently do not have that specific vehicle in stock. The customer mentioned that someone had called them back previously, but they declined at the time. However, they are now interested in purchasing the vehicle within the next month or two. The agent, Mike, asked for the customer's name and telephone number to give them a callback in about 20 minutes.</t>
  </si>
  <si>
    <t>The customer, Maggie Swan, called Benson Nissan of Spartanburg to inquire about a 2019 Pathfinder she saw online for $19,000. The agent confirmed that the vehicle was available and asked if Maggie could come in that afternoon. Maggie mentioned receiving a flyer from another dealership, Easily Nissan, guaranteeing at least $10,000 towards her trade-in. The agent explained that they have a loyalty rebate for a brand new Pathfinder and suggested looking at both preowned and brand new options. Maggie mentioned that she couldn't get a loan for a new vehicle but the price difference from her current car's payoff was only $5,000. The agent asked Maggie to bring the flyer and loan documents when she visits so they can assess the trade-in value and potentially cancel a loan to put cash towards the balance. They agreed to discuss the details when Maggie comes in.</t>
  </si>
  <si>
    <t>Local Line</t>
  </si>
  <si>
    <t>Dave Watson</t>
  </si>
  <si>
    <t>ZZ-Name Unavailable</t>
  </si>
  <si>
    <t>Alexander Benson</t>
  </si>
  <si>
    <t>Used</t>
  </si>
  <si>
    <t xml:space="preserve">Call Note: The customer called Benson Nissan of Spartanburg to inquire about the availability of a tax credit for purchasing a pre-owned vehicle. The agent explained that they have limited experience with applying the tax credit to pre-owned vehicles but would be willing to assist the customer and their CPA in obtaining the necessary information. The customer mentioned that they were interested in buying a car from the dealership and wanted to explore the possibility of applying the tax credit to the purchase. The agent agreed to look into the matter and promised to provide a definitive answer the following day. The customer expressed gratitude and mentioned that the car would be a graduation present for their daughter.  [Reverse Lookup Name: DAVID WATSON] Open Alert: Used Sales Opportunity    </t>
  </si>
  <si>
    <t>Sydney</t>
  </si>
  <si>
    <t>Z-Unidentified</t>
  </si>
  <si>
    <t>Christian Norman</t>
  </si>
  <si>
    <t>New</t>
  </si>
  <si>
    <t xml:space="preserve">Call Note: The customer called Benson Nissan of Spartanburg to inquire about Christian Norman. The agent transferred the call to Christian Norman. The customer, Sidney, mentioned that they had visited the dealership and looked at a Kia Sorento. Sidney asked about the process of purchasing the car and if it was still available. Christian Norman assured Sidney that they would take care of everything and expressed excitement about hearing back from them. Sidney thanked Christian and ended the call.  [Reverse Lookup Name: SC CALLER] Open Alert: New Sales Opportunity    </t>
  </si>
  <si>
    <t>www.bensonnissan.com - SALES (888-816-2294)</t>
  </si>
  <si>
    <t>Bobby</t>
  </si>
  <si>
    <t xml:space="preserve">Call Note: The customer, Bobby, called Benson Nissan of Spartanburg to inquire about a specific vehicle, the Nissan Titan Pro-4X. He asked if there were any incentives or discounts available for that vehicle. The agent checked and confirmed that there is a discount available, bringing the price down to $40,000 before taxes and tags. However, the agent informed Bobby that in order to receive the discount, he would need to finance through Nissan. Bobby clarified that if he used his own financing, he would not be eligible for the discount and would have to pay the price listed on the sticker. Bobby decided not to proceed with the purchase as he preferred to use his own financing and get a better rate elsewhere. The conversation ended with the agent thanking Bobby and saying goodbye.  [Reverse Lookup Name: NC CALLER] Open Alert: Used Sales Opportunity    </t>
  </si>
  <si>
    <t>GOOGLE ()</t>
  </si>
  <si>
    <t>David Williams</t>
  </si>
  <si>
    <t>Eddy Phouthakoun</t>
  </si>
  <si>
    <t xml:space="preserve">Call Note: The customer called Benson Nissan of Spartanburg to inquire about a 2014 Nissan Ultima. The agent transferred the call to Eddie who confirmed the car was in stock and had 160,000 miles. Eddie asked for the customer's name and phone number to send a video or picture of the car. The customer provided the information and Eddie said he would check the car and send a video. The customer confirmed they were leaving soon and Eddie said he would call back in a few minutes with an update.  [Reverse Lookup Name: THOMAS MILLER] Open Alert: Used Sales Opportunity    </t>
  </si>
  <si>
    <t>Chad Cannon</t>
  </si>
  <si>
    <t>Edward Camlin</t>
  </si>
  <si>
    <t xml:space="preserve">Call Note: The customer called Benson Nissan of Spartanburg to inquire about a used Nissan Altima for sale. The agent informed the customer that the specific Altima he was interested in had been sold earlier that day. The customer expressed his desire to purchase a smaller car around the same price range and mentioned that he wanted to pay cash or finance up to $7,000. The agent suggested a few options, including a 2015 Kia Soul and a 2014 Nissan Juke, but the customer was looking for something with better gas mileage. The agent mentioned a 2019 Nissan Sentra and assured the customer that financing would be possible if he could provide proof of income. The customer expressed interest in the Kia Soul and requested pictures or a link to the website. The agent agreed to keep an eye out for a car within the customer's budget and preferences.  [Reverse Lookup Name: CHAD CANNON] Open Alert: Used Sales Opportunity CHEVROLET Tahoe    </t>
  </si>
  <si>
    <t>Will Shirah</t>
  </si>
  <si>
    <t>Kiel Johnson</t>
  </si>
  <si>
    <t>James Martin</t>
  </si>
  <si>
    <t xml:space="preserve">Call Note: A customer called Benson Nissan of Spartanburg and asked to speak to James Martin. The agent transferred the call to James, who spoke with the customer, Bill. Bill mentioned that he had referred someone named Josh Crum to James for a used car purchase. James asked for Josh's last name and the stock number of the car he was interested in. The customer provided the information and promised to try and get Josh's phone number. The call ended with James thanking the customer and saying goodbye.  [Reverse Lookup Name: WILLIAM SHIRAH] Open Alert: Used Sales Opportunity    </t>
  </si>
  <si>
    <t>Unidentified</t>
  </si>
  <si>
    <t xml:space="preserve">Call Note: The customer called Benson Nissan of Spartanburg to inquire about used cars within a $10,000 budget. The agent transferred the call to James Martin, who provided information on available vehicles. They discussed a 2018 Mitsubishi Mirage with under 29,000 miles for $7,300 and a 2017 Hyundai Accent for $10,200. The customer asked if they could view the cars on the dealership's website, and the agent confirmed that they could. The customer mentioned they would take their daughter to see the cars and would potentially visit on Monday. The conversation ended with the agent thanking the customer and saying goodbye.  [Reverse Lookup Name: SC CALLER] Open Alert: Used Sales Opportunity    </t>
  </si>
  <si>
    <t>Mike  Peppin</t>
  </si>
  <si>
    <t>Michael Smith</t>
  </si>
  <si>
    <t xml:space="preserve">Call Note: The customer, Greg, called Benson Nissan of Spartanburg to speak with Mike Smith. He was transferred to Ken, who informed him that Mike was not available. Greg mentioned an article he saw about Nissan encouraging dealers to sell 2024 models at a 10 to 15% discount. Ken had not seen the article but said they might be able to offer a discount depending on the vehicle. Greg mentioned that he was looking to buy in cash. Ken said he would check with his GM and call Greg back with more information. Greg thanked him and ended the call.  [Reverse Lookup Name: MICHAEL PEPPIN] Open Alert: New Sales Opportunity    </t>
  </si>
  <si>
    <t>Bisman</t>
  </si>
  <si>
    <t xml:space="preserve">Call Note: The customer called Benson Nissan of Spartanburg to inquire about a 2023 Nissan Altima for his daughter. He mentioned that he had previously purchased five cars from them and his daughter had bought one as well. He provided the sales manager, Mike, with the details of the car, including the price of $24,000 and some dollars, and mentioned that the list price was around $27,000 with a discount. The customer described the features of the car, such as safety features and a good radio system, but mentioned that he didn't like the wheel covers. The sales manager asked if it was an SV model, and the customer said he would check and confirmed that it was a front-wheel-drive sedan. The sales manager noted down the information and said he would call the customer back in about 10 minutes after finishing up with another customer. The customer provided his phone number as 828-429-1893.  [Reverse Lookup Name: STEVE CHRISMAN] Open Alert: New Sales Opportunity    </t>
  </si>
  <si>
    <t>Curtis</t>
  </si>
  <si>
    <t xml:space="preserve">Call Note: The customer called Benson Nissan of Spartanburg and asked for Mike Smith. After being transferred, the customer inquired about the new Armada and Pathfinder models and expressed interest in the Armada. The agent asked about a down payment and the customer preferred not to put any money down. The agent promised to call back in 20 minutes with more information. The customer requested to complete the process over the phone instead of driving to the dealership. The agent agreed and said they would call back.  [Reverse Lookup Name: JENNY CRUZ] Open Alert: New Sales Opportunity    </t>
  </si>
  <si>
    <t>Carlos  Ramos</t>
  </si>
  <si>
    <t>Nikki Bartell</t>
  </si>
  <si>
    <t xml:space="preserve">Call Note: The customer called Benson Nissan of Spartanburg to inquire about obtaining a bill of sale for a vehicle they were interested in. They provided the stock number for a 2023 Nissan Frontier and their name, Carlos Ramos. The agent, Nicky, asked if they were looking to register the vehicle in South Carolina and if they planned to finance with the dealership or someone else. Carlos mentioned that he would be financing with a credit union. Nicky asked for Carlos' email address and phone number. They discussed the option of showing the vehicle to Carlos so he could get an idea of what it would look like. Nicky said they would send a text message with the details and follow up with Carlos later. The conversation ended with Carlos thanking Nicky and saying goodbye.  [Reverse Lookup Name: EDWIN GARCIA] Open Alert: Used Sales Opportunity    </t>
  </si>
  <si>
    <t>Lacey</t>
  </si>
  <si>
    <t>Sheba Peoples</t>
  </si>
  <si>
    <t xml:space="preserve">Call Note: The customer called Benson Nissan of Spartanburg and asked for assistance with finding a Pathfinder in either black or white with brown interior and captain's chairs. The agent asked for the customer's phone number and found out that they had previously worked with Shiva. The agent transferred the call to Shiva, who confirmed the customer's request and said she would let her manager know. Shiva informed the customer that she would call back in a few minutes after working with the customers on the car lot. The call ended with the customer thanking Shiva.  [Reverse Lookup Name: J LACEY] Open Alert: New Sales Opportunity    </t>
  </si>
  <si>
    <t>Tia  Morris</t>
  </si>
  <si>
    <t xml:space="preserve">Call Note: The customer called Benson Nissan of Spartanburg to inquire about the Benson benefits for a 23 Nissan Altima listed online. The agent searched for the vehicle but could not find it and offered a 22 Nissan Altima SR with a sunroof instead. The customer was interested but concerned about the price and additional fees such as taxes, registration, and certification. The agent explained that certification would provide an additional warranty and the customer agreed to call back later with their phone number to discuss further.  [Reverse Lookup Name: TIA MORRIS] Open Alert: Used Sales Opportunity    </t>
  </si>
  <si>
    <t>Nancy from NISSAN NORTH AMERICA</t>
  </si>
  <si>
    <t>Sierra Hall</t>
  </si>
  <si>
    <t xml:space="preserve">Call Note: The customer, Nancy from Nissan North America, called Benson Nissan of Spartanburg to speak with an internet sales representative. She had been transferred to voicemail twice and needed someone to speak with a customer named Tommy Glover who was holding on her back line. The agent, Sierra, agreed to transfer Tommy to speak with him. Nancy provided Tommy's contact information and his preferences for a preowned vehicle. She mentioned that Tommy likes blue or white exteriors, cloth seats, heated seats, and remote engine start. Nancy forwarded this information to Sierra and Eddie's name was mentioned as the point of contact. The conversation ended with Nancy instructing Tommy to reach out to Eddie.  [Reverse Lookup Name: CALLER] Open Alert: Used Sales Opportunity    </t>
  </si>
  <si>
    <t>Daniell Santini</t>
  </si>
  <si>
    <t>Slade Smith</t>
  </si>
  <si>
    <t xml:space="preserve">Call Note: The customer, Danielle Santini, calls Benson Nissan of Spartanburg and is transferred to Leah. Danielle mentions that she has health issues but is feeling strong. She discusses her husband, Anthony, who has been in contact with Leah. Danielle expresses her desire to buy a car instead of leasing. Leah provides options for retail payments with zero out of pocket. Danielle asks about 0% financing and Leah checks for available options. Danielle asks if she can call back and Leah agrees. The conversation ends with a friendly goodbye.  [Reverse Lookup Name: DANIELL SANTINI] Open Alert: New Sales Opportunity    </t>
  </si>
  <si>
    <t>Thresa Henderson</t>
  </si>
  <si>
    <t xml:space="preserve">Call Note: The customer called Benson Nissan of Spartanburg looking for a used Jeep. The agent transferred the call to the appropriate department. The customer specified that they were interested in a Jeep Cherokee or Grand Cherokee. The agent confirmed the customer's name as Teresa Anderson. The agent checked their inventory and mentioned an 18 Jeep Cherokee Trailhawk and a 22 Jeep Wrangler Unlimited Rubicon. The customer expressed dislike for the Wrangler and Rubicon models and preferred the Grand Cherokee or Cherokee. The agent mentioned an older Jeep Grand Cherokee Limited and an 18 Cherokee Trailhawk in stock. The customer asked about the price of the 18 Trailhawk and mentioned a budget of around $28,000. The agent said they would look for options within that budget and mentioned they also buy from individuals. The call ended with the agent thanking the customer and saying they would call back if they found anything.  [Reverse Lookup Name: TRESA HENDERSON] Open Alert: Used Sales Opportunity    </t>
  </si>
  <si>
    <t>Thomas Turner</t>
  </si>
  <si>
    <t xml:space="preserve">Call Note: The customer, Thomas Turner, called Benson Nissan of Spartanburg to discuss purchasing a used vehicle. The agent, Santana, confirmed that Thomas was interested in a Nissan Rogue. Thomas mentioned that he had spoken to Santana the previous day and expressed his desire for lower payments. Santana asked if Thomas had any money to put down, to which Thomas replied that he did not currently have a car. Santana suggested a down payment of $2000, and Thomas agreed to proceed with that amount. The conversation ended with a confirmation of the down payment and a thank you.  [Reverse Lookup Name: SC CALLER] Open Alert: Used Sales Opportunity    </t>
  </si>
  <si>
    <t>Barbarar Garrett</t>
  </si>
  <si>
    <t>Tyler Moss</t>
  </si>
  <si>
    <t xml:space="preserve">Call Note: The customer called Benson Nissan of Spartanburg to inquire about a 2020 Telluride LX that she saw online. The agent transferred the call to a salesperson who confirmed that the black 2020 Telluride LX with stock number B was still available. The agent offered to send a video of the car's interior and exterior to the customer and provided his name (Tyler Moss) and personal cell number (864-436-4723) for further communication. The customer expressed interest in the mileage and front-wheel drive of the vehicle and mentioned that she would come for a test drive if the video looked good. She provided her name (Barbara Garrett) and phone number to the agent. The customer also asked about the warranty and certification options, to which the agent explained that the vehicle could be certified for an additional cost and serviced at any Kia dealership. The conversation ended with the agent sending a message to the customer to confirm if she could be contacted via text message.  [Reverse Lookup Name: BARBARA GARRETT] Open Alert: Used Sales Opportunity    </t>
  </si>
  <si>
    <t>Jody  Griffin</t>
  </si>
  <si>
    <t xml:space="preserve">Call Note: The customer called Benson Nissan of Spartanburg to inquire about a 2015 Nissan Altima listed for $11,000 to $29,000. The agent transferred the call to sales but informed the customer that the vehicle had already been sold. The customer asked if there were any similar vehicles available in the price range of $12,000 to $15,000. The agent confirmed that there were a couple of options and requested the customer's name and phone number to send pictures. The customer provided their information and mentioned their preference for non-American made cars, excluding Ford Fusion or Ford Focus. The agent assured the customer that they would send the pictures and the call ended.  [Reverse Lookup Name: GERALDO ROGERS] Open Alert: Used Sales Opportunity    </t>
  </si>
  <si>
    <t>Nick</t>
  </si>
  <si>
    <t>ZZ-Inaudible</t>
  </si>
  <si>
    <t xml:space="preserve">Call Note: The customer, Nick, called Benson Nissan of Spartanburg to speak with one of the Nissan sales managers. He introduced himself as Nick from Morristown Nissan and asked for assistance with a Frontier. The agent asked for the last six digits of the VIN and confirmed that the vehicle was a gun metallic four by four SV with a long bed. Nick mentioned putting the deal together and asked for the agent's name, which was Alex. Nick requested a phone number to text, and Alex provided his cell number, 864-419-9445. Nick agreed to send a text and expressed his interest in working with them. Alex asked Nick to text him and confirmed his name again. Nick thanked Alex, and the conversation ended.  [Reverse Lookup Name: NICOLAS BEBB] Open Alert: New Sales Opportunity    </t>
  </si>
  <si>
    <t>Ann Rachelle</t>
  </si>
  <si>
    <t>Fredrica Wright</t>
  </si>
  <si>
    <t xml:space="preserve">Call Note: The customer called Benson Nissan of Spartanburg to inquire about the prices of a Nissan Frontier. The agent confirmed the customer's preference for a crew cab with four-wheel drive and determined that the customer wanted a brand new vehicle. The customer, Anne Rental, mentioned that she was located in North Carolina. The agent, who also lived in Hendersonville, suggested that the customer visit the dealership for the best deals. However, the customer wanted to get an idea of the prices before making the trip. The agent provided a ballpark figure of just over $40,000 for a Nissan Frontier with four-wheel drive. The customer thanked the agent and stated that she would not be able to visit the dealership that day. The agent encouraged the customer to reach out when she was ready to make a purchase.  [Reverse Lookup Name: NC CALLER] Open Alert: New Sales Opportunity    </t>
  </si>
  <si>
    <t xml:space="preserve">Call Note: The customer, Elizabeth Kelly, called Benson Nissan of Spartanburg and spoke with a sales manager named Kim. Elizabeth expressed interest in purchasing a hatchback car that she can pull her wheelchair into, as she is disabled. She mentioned seeing a commercial about the Nissan Leaf and the 0% financing offer. Kim suggested meeting the next morning to discuss her needs and explore electric and hybrid options. Elizabeth mentioned that she will have an inheritance coming in and plans to put $9,000 down on the car. They agreed to meet at 10:00 AM at Benson Nissan on Pine Street. Kim sent a text message to Elizabeth, but she did not receive it due to an outdated phone number. They updated her contact information and email address. Elizabeth mentioned that she occasionally goes on road trips and is interested in the convenience of charging the car while eating at a restaurant. Kim advised her to unlock her credit for the car purchase and they ended the call.  [Reverse Lookup Name: ANTHONY LANCASTER] Open Alert: New Sales Opportunity    </t>
  </si>
  <si>
    <t>Corey Dunbar</t>
  </si>
  <si>
    <t xml:space="preserve">Call Note: The customer called Benson Nissan of Spartanburg to inquire about a 2020 Nissan Versa with a five-speed manual transmission trim that they had missed out on a few months ago. The agent transferred the call to Mike, who informed the customer that they currently do not have that specific vehicle in stock. The customer mentioned that someone had called them back previously, but they declined at the time. However, they are now interested in purchasing the vehicle within the next month or two. The agent, Mike, asked for the customer's name and telephone number to give them a callback in about 20 minutes.  [Reverse Lookup Name: GA CALLER] Open Alert: New Sales Opportunity    </t>
  </si>
  <si>
    <t>Maggie Swan</t>
  </si>
  <si>
    <t xml:space="preserve">Call Note: The customer, Maggie Swan, called Benson Nissan of Spartanburg to inquire about a 2019 Pathfinder she saw online for $19,000. The agent confirmed that the vehicle was available and asked if Maggie could come in that afternoon. Maggie mentioned receiving a flyer from another dealership, Easily Nissan, guaranteeing at least $10,000 towards her trade-in. The agent explained that they have a loyalty rebate for a brand new Pathfinder and suggested looking at both preowned and brand new options. Maggie mentioned that she couldn't get a loan for a new vehicle but the price difference from her current car's payoff was only $5,000. The agent asked Maggie to bring the flyer and loan documents when she visits so they can assess the trade-in value and potentially cancel a loan to put cash towards the balance. They agreed to discuss the details when Maggie comes in.  [Reverse Lookup Name: SC CALLER] Open Alert: Used Sales Opportunity    </t>
  </si>
  <si>
    <t>Used Sales Opportunity</t>
  </si>
  <si>
    <t>New Sales Opportunity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</si>
</sst>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
    <numFmt numFmtId="165" formatCode="[$-409]h:mm\ AM/PM;@"/>
    <numFmt numFmtId="166" formatCode="0.00000000"/>
    <numFmt numFmtId="167" formatCode="#,##0.0"/>
  </numFmts>
  <fonts count="21" x14ac:knownFonts="1">
    <font>
      <sz val="11"/>
      <color theme="1"/>
      <name val="Calibri"/>
      <family val="2"/>
      <scheme val="minor"/>
    </font>
    <font>
      <sz val="8"/>
      <name val="Arial"/>
      <family val="2"/>
    </font>
    <font>
      <b/>
      <sz val="11"/>
      <color theme="0"/>
      <name val="Calibri"/>
      <family val="2"/>
      <scheme val="minor"/>
    </font>
    <font>
      <u/>
      <sz val="11"/>
      <color theme="10"/>
      <name val="Calibri"/>
      <family val="2"/>
    </font>
    <font>
      <b/>
      <sz val="11"/>
      <color theme="1"/>
      <name val="Calibri"/>
      <family val="2"/>
      <scheme val="minor"/>
    </font>
    <font>
      <sz val="11"/>
      <color theme="0" tint="-0.499984740745262"/>
      <name val="Calibri"/>
      <family val="2"/>
      <scheme val="minor"/>
    </font>
    <font>
      <sz val="11"/>
      <color theme="1" tint="0.249977111117893"/>
      <name val="Calibri"/>
      <family val="2"/>
      <scheme val="minor"/>
    </font>
    <font>
      <sz val="11"/>
      <color theme="0" tint="-0.249977111117893"/>
      <name val="Calibri"/>
      <family val="2"/>
      <scheme val="minor"/>
    </font>
    <font>
      <b/>
      <sz val="11"/>
      <color theme="0" tint="-0.249977111117893"/>
      <name val="Calibri"/>
      <family val="2"/>
      <scheme val="minor"/>
    </font>
    <font>
      <sz val="11"/>
      <color theme="3" tint="0.59999389629810485"/>
      <name val="Calibri"/>
      <family val="2"/>
      <scheme val="minor"/>
    </font>
    <font>
      <b/>
      <sz val="11"/>
      <color theme="3" tint="0.59999389629810485"/>
      <name val="Calibri"/>
      <family val="2"/>
      <scheme val="minor"/>
    </font>
    <font>
      <sz val="11"/>
      <name val="Calibri"/>
      <family val="2"/>
      <scheme val="minor"/>
    </font>
    <font>
      <b/>
      <sz val="12"/>
      <color theme="0"/>
      <name val="Calibri"/>
      <family val="2"/>
      <scheme val="minor"/>
    </font>
    <font>
      <b/>
      <u/>
      <sz val="11"/>
      <color theme="10"/>
      <name val="Wingdings"/>
      <charset val="2"/>
    </font>
    <font>
      <sz val="11"/>
      <color theme="0" tint="-0.34998626667073579"/>
      <name val="Calibri"/>
      <family val="2"/>
      <scheme val="minor"/>
    </font>
    <font>
      <b/>
      <sz val="16"/>
      <color theme="1"/>
      <name val="Calibri"/>
      <family val="2"/>
      <scheme val="minor"/>
    </font>
    <font>
      <b/>
      <sz val="10"/>
      <color rgb="FF1F497D"/>
      <name val="Calibri"/>
      <family val="2"/>
      <scheme val="minor"/>
    </font>
    <font>
      <b/>
      <sz val="14"/>
      <color theme="1"/>
      <name val="Calibri"/>
      <family val="2"/>
      <scheme val="minor"/>
    </font>
    <font>
      <sz val="9"/>
      <color theme="1"/>
      <name val="Calibri"/>
      <family val="2"/>
      <scheme val="minor"/>
    </font>
    <font>
      <b/>
      <sz val="10"/>
      <color rgb="FFFF0000"/>
      <name val="Calibri"/>
      <family val="2"/>
      <scheme val="minor"/>
    </font>
    <font>
      <sz val="1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249977111117893"/>
        <bgColor indexed="64"/>
      </patternFill>
    </fill>
  </fills>
  <borders count="1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94">
    <xf numFmtId="0" fontId="0" fillId="0" borderId="0" xfId="0"/>
    <xf numFmtId="0" fontId="5" fillId="0" borderId="0" xfId="0" applyFont="1" applyFill="1" applyBorder="1"/>
    <xf numFmtId="0" fontId="0" fillId="3" borderId="0" xfId="0" applyFill="1"/>
    <xf numFmtId="0" fontId="5" fillId="3" borderId="0" xfId="0" applyFont="1" applyFill="1" applyBorder="1"/>
    <xf numFmtId="0" fontId="6" fillId="3" borderId="0" xfId="0" applyFont="1" applyFill="1"/>
    <xf numFmtId="0" fontId="6" fillId="0" borderId="0" xfId="0" applyFont="1"/>
    <xf numFmtId="0" fontId="0" fillId="3" borderId="0" xfId="0" applyFill="1" applyAlignment="1">
      <alignment horizontal="center"/>
    </xf>
    <xf numFmtId="0" fontId="7" fillId="3" borderId="0" xfId="0" applyFont="1" applyFill="1"/>
    <xf numFmtId="0" fontId="7" fillId="3" borderId="0" xfId="0" applyFont="1" applyFill="1" applyBorder="1"/>
    <xf numFmtId="0" fontId="8" fillId="3" borderId="1" xfId="0" applyFont="1" applyFill="1" applyBorder="1" applyAlignment="1">
      <alignment horizontal="center" wrapText="1"/>
    </xf>
    <xf numFmtId="0" fontId="2" fillId="3" borderId="1" xfId="0" applyFont="1" applyFill="1" applyBorder="1" applyAlignment="1">
      <alignment horizontal="center" wrapText="1"/>
    </xf>
    <xf numFmtId="164" fontId="7" fillId="3" borderId="0" xfId="0" applyNumberFormat="1" applyFont="1" applyFill="1" applyBorder="1" applyAlignment="1">
      <alignment wrapText="1"/>
    </xf>
    <xf numFmtId="165" fontId="7" fillId="3" borderId="0" xfId="0" applyNumberFormat="1" applyFont="1" applyFill="1" applyBorder="1" applyAlignment="1">
      <alignment wrapText="1"/>
    </xf>
    <xf numFmtId="165" fontId="5" fillId="3" borderId="0" xfId="0" applyNumberFormat="1" applyFont="1" applyFill="1" applyBorder="1" applyAlignment="1">
      <alignment wrapText="1"/>
    </xf>
    <xf numFmtId="0" fontId="6" fillId="3" borderId="0" xfId="0" applyFont="1" applyFill="1" applyAlignment="1">
      <alignment wrapText="1"/>
    </xf>
    <xf numFmtId="20" fontId="9" fillId="3" borderId="0" xfId="0" applyNumberFormat="1" applyFont="1" applyFill="1"/>
    <xf numFmtId="0" fontId="9" fillId="3" borderId="0" xfId="0" applyFont="1" applyFill="1"/>
    <xf numFmtId="0" fontId="10" fillId="3" borderId="0" xfId="0" applyFont="1" applyFill="1"/>
    <xf numFmtId="0" fontId="4" fillId="3" borderId="2" xfId="0" applyNumberFormat="1" applyFont="1" applyFill="1" applyBorder="1" applyAlignment="1">
      <alignment horizontal="center" wrapText="1"/>
    </xf>
    <xf numFmtId="0" fontId="4" fillId="3" borderId="2" xfId="0" applyNumberFormat="1" applyFont="1" applyFill="1" applyBorder="1" applyAlignment="1">
      <alignment horizontal="left" wrapText="1"/>
    </xf>
    <xf numFmtId="0" fontId="0" fillId="3" borderId="0" xfId="0" applyFont="1" applyFill="1"/>
    <xf numFmtId="0" fontId="0" fillId="3" borderId="0" xfId="0" applyFont="1" applyFill="1" applyAlignment="1">
      <alignment horizontal="center"/>
    </xf>
    <xf numFmtId="14" fontId="0" fillId="3" borderId="0" xfId="0" applyNumberFormat="1" applyFont="1" applyFill="1"/>
    <xf numFmtId="0" fontId="0" fillId="3" borderId="0" xfId="0" applyFont="1" applyFill="1" applyAlignment="1">
      <alignment wrapText="1"/>
    </xf>
    <xf numFmtId="20" fontId="0" fillId="3" borderId="0" xfId="0" applyNumberFormat="1" applyFont="1" applyFill="1"/>
    <xf numFmtId="166" fontId="0" fillId="3" borderId="0" xfId="0" applyNumberFormat="1" applyFont="1" applyFill="1"/>
    <xf numFmtId="0" fontId="0" fillId="0" borderId="0" xfId="0" applyFont="1"/>
    <xf numFmtId="0" fontId="0" fillId="3" borderId="2" xfId="0" applyFont="1" applyFill="1" applyBorder="1" applyAlignment="1">
      <alignment wrapText="1"/>
    </xf>
    <xf numFmtId="0" fontId="0" fillId="3" borderId="3" xfId="0" applyFont="1" applyFill="1" applyBorder="1" applyAlignment="1">
      <alignment wrapText="1"/>
    </xf>
    <xf numFmtId="0" fontId="0" fillId="3" borderId="0" xfId="0" applyFont="1" applyFill="1" applyBorder="1" applyAlignment="1">
      <alignment wrapText="1"/>
    </xf>
    <xf numFmtId="0" fontId="0" fillId="0" borderId="0" xfId="0" applyFont="1" applyAlignment="1">
      <alignment horizontal="center"/>
    </xf>
    <xf numFmtId="0" fontId="11" fillId="3" borderId="0" xfId="0" applyFont="1" applyFill="1" applyBorder="1"/>
    <xf numFmtId="0" fontId="0" fillId="3" borderId="0" xfId="0" applyFont="1" applyFill="1" applyAlignment="1">
      <alignment horizontal="left" vertical="center"/>
    </xf>
    <xf numFmtId="0" fontId="4" fillId="3" borderId="0" xfId="0" applyNumberFormat="1" applyFont="1" applyFill="1" applyBorder="1" applyAlignment="1">
      <alignment horizontal="center" wrapText="1"/>
    </xf>
    <xf numFmtId="164" fontId="10" fillId="3" borderId="0" xfId="0" applyNumberFormat="1" applyFont="1" applyFill="1" applyBorder="1" applyAlignment="1">
      <alignment horizontal="center" wrapText="1"/>
    </xf>
    <xf numFmtId="0" fontId="9" fillId="3" borderId="0" xfId="0" applyFont="1" applyFill="1" applyBorder="1" applyAlignment="1">
      <alignment horizontal="left" vertical="center" wrapText="1"/>
    </xf>
    <xf numFmtId="0" fontId="9" fillId="3" borderId="0" xfId="0" applyFont="1" applyFill="1" applyBorder="1" applyAlignment="1"/>
    <xf numFmtId="0" fontId="4" fillId="3" borderId="0" xfId="0" applyNumberFormat="1" applyFont="1" applyFill="1" applyBorder="1" applyAlignment="1">
      <alignment horizontal="center"/>
    </xf>
    <xf numFmtId="0" fontId="4" fillId="3" borderId="0" xfId="0" applyNumberFormat="1" applyFont="1" applyFill="1" applyBorder="1" applyAlignment="1">
      <alignment horizontal="left" wrapText="1"/>
    </xf>
    <xf numFmtId="0" fontId="0" fillId="3" borderId="0" xfId="0" applyFont="1" applyFill="1" applyBorder="1"/>
    <xf numFmtId="167" fontId="0" fillId="3" borderId="0" xfId="0" applyNumberFormat="1" applyFont="1" applyFill="1" applyBorder="1"/>
    <xf numFmtId="0" fontId="0" fillId="3" borderId="0" xfId="0" applyFont="1" applyFill="1" applyBorder="1" applyAlignment="1">
      <alignment horizontal="center"/>
    </xf>
    <xf numFmtId="0" fontId="7" fillId="3" borderId="0" xfId="0" applyNumberFormat="1" applyFont="1" applyFill="1" applyBorder="1" applyAlignment="1">
      <alignment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6" xfId="0" applyFont="1" applyFill="1" applyBorder="1" applyAlignment="1">
      <alignment horizontal="center" wrapText="1"/>
    </xf>
    <xf numFmtId="0" fontId="13" fillId="3" borderId="7" xfId="1" applyNumberFormat="1" applyFont="1" applyFill="1" applyBorder="1" applyAlignment="1" applyProtection="1">
      <alignment horizontal="center" vertical="center" wrapText="1"/>
    </xf>
    <xf numFmtId="0" fontId="4" fillId="3" borderId="0" xfId="0" applyFont="1" applyFill="1"/>
    <xf numFmtId="164" fontId="4" fillId="3" borderId="8" xfId="0" applyNumberFormat="1" applyFont="1" applyFill="1" applyBorder="1" applyAlignment="1">
      <alignment horizontal="center" wrapText="1"/>
    </xf>
    <xf numFmtId="165" fontId="4" fillId="3" borderId="9" xfId="0" applyNumberFormat="1" applyFont="1" applyFill="1" applyBorder="1" applyAlignment="1">
      <alignment horizontal="center" wrapText="1"/>
    </xf>
    <xf numFmtId="167" fontId="4" fillId="3" borderId="9" xfId="0" applyNumberFormat="1" applyFont="1" applyFill="1" applyBorder="1" applyAlignment="1">
      <alignment horizontal="center" wrapText="1"/>
    </xf>
    <xf numFmtId="0" fontId="4" fillId="3" borderId="9" xfId="0" applyNumberFormat="1" applyFont="1" applyFill="1" applyBorder="1" applyAlignment="1">
      <alignment horizontal="center" wrapText="1"/>
    </xf>
    <xf numFmtId="14" fontId="1" fillId="2" borderId="0" xfId="0" applyNumberFormat="1" applyFont="1" applyFill="1" applyBorder="1" applyAlignment="1">
      <alignment horizontal="center"/>
    </xf>
    <xf numFmtId="0" fontId="14" fillId="3" borderId="0" xfId="0" applyFont="1" applyFill="1"/>
    <xf numFmtId="0" fontId="14" fillId="3" borderId="0" xfId="0" applyFont="1" applyFill="1" applyAlignment="1">
      <alignment wrapText="1"/>
    </xf>
    <xf numFmtId="0" fontId="14" fillId="5" borderId="0" xfId="0" applyFont="1" applyFill="1" applyAlignment="1">
      <alignment wrapText="1"/>
    </xf>
    <xf numFmtId="0" fontId="14" fillId="6" borderId="0" xfId="0" applyFont="1" applyFill="1" applyAlignment="1">
      <alignment wrapText="1"/>
    </xf>
    <xf numFmtId="0" fontId="14" fillId="0" borderId="0" xfId="0" applyFont="1"/>
    <xf numFmtId="0" fontId="14" fillId="3" borderId="2" xfId="0" applyNumberFormat="1" applyFont="1" applyFill="1" applyBorder="1" applyAlignment="1">
      <alignment horizontal="center" wrapText="1"/>
    </xf>
    <xf numFmtId="0" fontId="14" fillId="6" borderId="2" xfId="0" applyNumberFormat="1" applyFont="1" applyFill="1" applyBorder="1" applyAlignment="1">
      <alignment horizontal="center" wrapText="1"/>
    </xf>
    <xf numFmtId="0" fontId="15" fillId="3" borderId="0" xfId="0" applyFont="1" applyFill="1" applyAlignment="1">
      <alignment horizontal="left"/>
    </xf>
    <xf numFmtId="0" fontId="15" fillId="3" borderId="0" xfId="0" applyFont="1" applyFill="1" applyAlignment="1">
      <alignment horizontal="left"/>
    </xf>
    <xf numFmtId="0" fontId="16" fillId="3" borderId="10" xfId="0" applyNumberFormat="1" applyFont="1" applyFill="1" applyBorder="1" applyAlignment="1">
      <alignment horizontal="center" vertical="center" wrapText="1"/>
    </xf>
    <xf numFmtId="0" fontId="17" fillId="3" borderId="0" xfId="0" applyFont="1" applyFill="1" applyAlignment="1">
      <alignment horizontal="left"/>
    </xf>
    <xf numFmtId="0" fontId="15" fillId="3" borderId="0" xfId="0" applyFont="1" applyFill="1" applyAlignment="1">
      <alignment horizontal="left"/>
    </xf>
    <xf numFmtId="0" fontId="19" fillId="0" borderId="9" xfId="0" applyNumberFormat="1" applyFont="1" applyFill="1" applyBorder="1" applyAlignment="1">
      <alignment horizontal="center" wrapText="1"/>
    </xf>
    <xf numFmtId="0" fontId="0" fillId="0" borderId="0" xfId="0" applyAlignment="1">
      <alignment wrapText="1"/>
    </xf>
    <xf numFmtId="14" fontId="14" fillId="0" borderId="0" xfId="0" applyNumberFormat="1" applyFont="1"/>
    <xf numFmtId="0" fontId="0" fillId="7" borderId="0" xfId="0" applyFill="1"/>
    <xf numFmtId="0" fontId="0" fillId="8" borderId="0" xfId="0" applyFill="1"/>
    <xf numFmtId="0" fontId="0" fillId="8" borderId="2" xfId="0" applyFill="1" applyBorder="1"/>
    <xf numFmtId="0" fontId="0" fillId="9" borderId="0" xfId="0" applyFill="1"/>
    <xf numFmtId="14" fontId="0" fillId="10" borderId="0" xfId="0" applyNumberFormat="1" applyFill="1"/>
    <xf numFmtId="0" fontId="0" fillId="10" borderId="2" xfId="0" applyFill="1" applyBorder="1" applyAlignment="1">
      <alignment wrapText="1"/>
    </xf>
    <xf numFmtId="0" fontId="0" fillId="10" borderId="2" xfId="0" applyFill="1" applyBorder="1"/>
    <xf numFmtId="0" fontId="4" fillId="0" borderId="0" xfId="0" applyFont="1"/>
    <xf numFmtId="0" fontId="4" fillId="0" borderId="0" xfId="0" applyFont="1" applyFill="1" applyBorder="1"/>
    <xf numFmtId="14" fontId="0" fillId="10" borderId="2" xfId="0" applyNumberFormat="1" applyFill="1" applyBorder="1"/>
    <xf numFmtId="0" fontId="0" fillId="10" borderId="0" xfId="0" applyFill="1"/>
    <xf numFmtId="0" fontId="0" fillId="11" borderId="2" xfId="0" applyFill="1" applyBorder="1"/>
    <xf numFmtId="0" fontId="0" fillId="11" borderId="0" xfId="0" applyFill="1"/>
    <xf numFmtId="0" fontId="0" fillId="12" borderId="0" xfId="0" applyFill="1"/>
    <xf numFmtId="0" fontId="20" fillId="0" borderId="0" xfId="0" applyFont="1"/>
    <xf numFmtId="0" fontId="0" fillId="11" borderId="14" xfId="0" applyFill="1" applyBorder="1"/>
    <xf numFmtId="0" fontId="0" fillId="11" borderId="2" xfId="0" applyFill="1" applyBorder="1" applyAlignment="1">
      <alignment wrapText="1"/>
    </xf>
    <xf numFmtId="16" fontId="0" fillId="0" borderId="0" xfId="0" applyNumberFormat="1"/>
    <xf numFmtId="14" fontId="0" fillId="0" borderId="0" xfId="0" applyNumberFormat="1"/>
    <xf numFmtId="14" fontId="4" fillId="3" borderId="0" xfId="0" applyNumberFormat="1" applyFont="1" applyFill="1"/>
    <xf numFmtId="0" fontId="15" fillId="3" borderId="0" xfId="0" applyFont="1" applyFill="1" applyAlignment="1">
      <alignment horizontal="left"/>
    </xf>
    <xf numFmtId="0" fontId="18" fillId="3" borderId="11" xfId="0" applyNumberFormat="1" applyFont="1" applyFill="1" applyBorder="1" applyAlignment="1">
      <alignment vertical="top" wrapText="1"/>
    </xf>
    <xf numFmtId="0" fontId="18" fillId="0" borderId="12" xfId="0" applyFont="1" applyBorder="1" applyAlignment="1">
      <alignment vertical="top" wrapText="1"/>
    </xf>
    <xf numFmtId="0" fontId="18" fillId="0" borderId="13" xfId="0" applyFont="1" applyBorder="1" applyAlignment="1">
      <alignment vertical="top" wrapText="1"/>
    </xf>
    <xf numFmtId="0" fontId="0" fillId="0" borderId="0" xfId="0" quotePrefix="1"/>
    <xf numFmtId="0" fontId="0" fillId="0" borderId="0" xfId="0" quotePrefix="1" applyAlignment="1">
      <alignment wrapText="1"/>
    </xf>
  </cellXfs>
  <cellStyles count="2">
    <cellStyle name="Hyperlink" xfId="1" builtinId="8"/>
    <cellStyle name="Normal" xfId="0" builtinId="0"/>
  </cellStyles>
  <dxfs count="2">
    <dxf>
      <fill>
        <patternFill>
          <bgColor rgb="FFFFFFCC"/>
        </patternFill>
      </fill>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1181100</xdr:colOff>
      <xdr:row>13</xdr:row>
      <xdr:rowOff>19050</xdr:rowOff>
    </xdr:from>
    <xdr:to>
      <xdr:col>44</xdr:col>
      <xdr:colOff>76200</xdr:colOff>
      <xdr:row>14</xdr:row>
      <xdr:rowOff>152400</xdr:rowOff>
    </xdr:to>
    <xdr:pic>
      <xdr:nvPicPr>
        <xdr:cNvPr id="1039" name="Picture 1" descr="http://www.calltranscription.com/images/callrevulogo.jpg">
          <a:extLst>
            <a:ext uri="{FF2B5EF4-FFF2-40B4-BE49-F238E27FC236}">
              <a16:creationId xmlns="" xmlns:a16="http://schemas.microsoft.com/office/drawing/2014/main" id="{00000000-0008-0000-0100-00000F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020800" y="2495550"/>
          <a:ext cx="1876425" cy="438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election activeCell="A84" sqref="A84"/>
    </sheetView>
  </sheetViews>
  <sheetFormatPr defaultRowHeight="15" x14ac:dyDescent="0.25"/>
  <cols>
    <col min="1" max="1" width="19.28515625" hidden="1" customWidth="1"/>
    <col min="3" max="3" width="43.5703125" customWidth="1"/>
    <col min="4" max="4" width="33.42578125" customWidth="1"/>
    <col min="6" max="6" width="44.85546875" customWidth="1"/>
    <col min="7" max="7" width="21.28515625" customWidth="1"/>
    <col min="8" max="9" width="12.140625" customWidth="1"/>
    <col min="10" max="10" width="13.140625" customWidth="1"/>
    <col min="11" max="11" width="13.28515625" customWidth="1"/>
  </cols>
  <sheetData>
    <row r="1" spans="1:11" hidden="1" x14ac:dyDescent="0.25">
      <c r="A1" t="s">
        <v>258</v>
      </c>
      <c r="C1" t="s">
        <v>62</v>
      </c>
      <c r="D1" t="s">
        <v>63</v>
      </c>
      <c r="E1" t="s">
        <v>64</v>
      </c>
    </row>
    <row r="2" spans="1:11" x14ac:dyDescent="0.25">
      <c r="G2" t="s">
        <v>65</v>
      </c>
      <c r="J2" s="57"/>
    </row>
    <row r="3" spans="1:11" ht="45" x14ac:dyDescent="0.25">
      <c r="F3" s="66" t="s">
        <v>66</v>
      </c>
    </row>
    <row r="4" spans="1:11" ht="31.5" customHeight="1" x14ac:dyDescent="0.25">
      <c r="F4" t="s">
        <v>67</v>
      </c>
      <c r="G4" t="s">
        <v>68</v>
      </c>
      <c r="J4" s="67"/>
    </row>
    <row r="5" spans="1:11" x14ac:dyDescent="0.25">
      <c r="C5" s="2"/>
      <c r="D5" s="2"/>
      <c r="F5" s="68" t="str">
        <f ca="1">"Time Period Reported:  "&amp;$K$14&amp;IF($J$13=$J$14,""," Through "&amp;$K$13)</f>
        <v>Time Period Reported:  May 01 Through May 28 2024</v>
      </c>
      <c r="G5" s="68" t="s">
        <v>1287</v>
      </c>
    </row>
    <row r="7" spans="1:11" x14ac:dyDescent="0.25">
      <c r="C7" s="2" t="s">
        <v>70</v>
      </c>
      <c r="D7" s="2"/>
      <c r="E7" s="69" t="s">
        <v>64</v>
      </c>
    </row>
    <row r="8" spans="1:11" x14ac:dyDescent="0.25">
      <c r="C8" s="70" t="s">
        <v>71</v>
      </c>
      <c r="D8" s="70"/>
      <c r="E8" s="69" t="s">
        <v>64</v>
      </c>
      <c r="G8" s="71" t="str">
        <f>IF($D8="", "*",$D8)</f>
        <v>*</v>
      </c>
      <c r="I8" t="s">
        <v>72</v>
      </c>
      <c r="J8" s="72">
        <f ca="1">DATE(YEAR($J$9),MONTH($J$9),1)</f>
        <v>45413</v>
      </c>
    </row>
    <row r="9" spans="1:11" x14ac:dyDescent="0.25">
      <c r="C9" s="70" t="s">
        <v>73</v>
      </c>
      <c r="D9" s="70"/>
      <c r="E9" s="69" t="s">
        <v>64</v>
      </c>
      <c r="G9" s="71">
        <f>IF($D$9="", 100200958,$D$9)</f>
        <v>100200958</v>
      </c>
      <c r="I9" t="s">
        <v>74</v>
      </c>
      <c r="J9" s="72">
        <f ca="1">TODAY()</f>
        <v>45440</v>
      </c>
    </row>
    <row r="10" spans="1:11" x14ac:dyDescent="0.25">
      <c r="A10" t="s">
        <v>69</v>
      </c>
      <c r="C10" s="70" t="s">
        <v>75</v>
      </c>
      <c r="D10" s="70">
        <v>214710</v>
      </c>
      <c r="E10" s="69" t="s">
        <v>64</v>
      </c>
      <c r="G10" s="71">
        <f>IF($D10="", "*",$D10)</f>
        <v>214710</v>
      </c>
      <c r="I10" t="s">
        <v>76</v>
      </c>
      <c r="J10" s="72">
        <f ca="1">$G$13+1</f>
        <v>45441</v>
      </c>
    </row>
    <row r="11" spans="1:11" x14ac:dyDescent="0.25">
      <c r="C11" s="70" t="s">
        <v>77</v>
      </c>
      <c r="D11" s="70"/>
      <c r="E11" s="69" t="s">
        <v>64</v>
      </c>
      <c r="G11" s="71" t="str">
        <f>IF($D11="", "*",$D11)</f>
        <v>*</v>
      </c>
    </row>
    <row r="12" spans="1:11" x14ac:dyDescent="0.25">
      <c r="A12" t="s">
        <v>69</v>
      </c>
      <c r="C12" s="73" t="s">
        <v>78</v>
      </c>
      <c r="D12" s="74" t="str">
        <f>"MTD"</f>
        <v>MTD</v>
      </c>
      <c r="E12" s="73" t="s">
        <v>64</v>
      </c>
      <c r="G12" s="75" t="s">
        <v>79</v>
      </c>
      <c r="H12" s="75" t="s">
        <v>80</v>
      </c>
      <c r="I12" s="75" t="s">
        <v>81</v>
      </c>
      <c r="J12" s="76" t="s">
        <v>82</v>
      </c>
      <c r="K12" s="76" t="s">
        <v>83</v>
      </c>
    </row>
    <row r="13" spans="1:11" ht="30" x14ac:dyDescent="0.25">
      <c r="A13" t="s">
        <v>69</v>
      </c>
      <c r="C13" s="73" t="s">
        <v>84</v>
      </c>
      <c r="D13" s="74"/>
      <c r="F13" t="s">
        <v>85</v>
      </c>
      <c r="G13" s="72">
        <f ca="1">IF(OR(TimePeriodN="MTD",LastdateN=""), $J$9, LastdateN)</f>
        <v>45440</v>
      </c>
      <c r="H13" s="72">
        <f ca="1">DATE(YEAR($G$13),MONTH($G$13),0)</f>
        <v>45412</v>
      </c>
      <c r="I13" s="72">
        <f ca="1">IF($H$13+1=$J$9,H13,$G$13)</f>
        <v>45440</v>
      </c>
      <c r="J13" s="72">
        <f ca="1">IF(TimePeriodN=H$12,H13,IF(TimePeriodN=I$12,I13,G13))</f>
        <v>45440</v>
      </c>
      <c r="K13" t="str">
        <f ca="1">TEXT($J$13,"mmm dd yyyy")</f>
        <v>May 28 2024</v>
      </c>
    </row>
    <row r="14" spans="1:11" x14ac:dyDescent="0.25">
      <c r="A14" t="s">
        <v>69</v>
      </c>
      <c r="C14" s="74" t="s">
        <v>86</v>
      </c>
      <c r="D14" s="77"/>
      <c r="F14" t="s">
        <v>87</v>
      </c>
      <c r="G14" s="72">
        <f ca="1">IF(StartdateN="",$J$10-$G$15, $D$14)</f>
        <v>45440</v>
      </c>
      <c r="H14" s="72">
        <f ca="1">DATE(YEAR($G$13),MONTH($G$13)-1,1)</f>
        <v>45383</v>
      </c>
      <c r="I14" s="72">
        <f ca="1">IF($H$13+1=$J$9,H14,$J$8)</f>
        <v>45413</v>
      </c>
      <c r="J14" s="72">
        <f ca="1">IF(TimePeriodN=H$12,H14,IF(TimePeriodN=I$12,I14,G14))</f>
        <v>45413</v>
      </c>
      <c r="K14" t="str">
        <f ca="1">TEXT($J$14,"mmm dd")</f>
        <v>May 01</v>
      </c>
    </row>
    <row r="15" spans="1:11" ht="30" x14ac:dyDescent="0.25">
      <c r="A15" t="s">
        <v>69</v>
      </c>
      <c r="C15" s="73" t="s">
        <v>88</v>
      </c>
      <c r="D15" s="74"/>
      <c r="G15" s="78">
        <f>IF(DatespreadN="", 1, DatespreadN)</f>
        <v>1</v>
      </c>
    </row>
    <row r="16" spans="1:11" x14ac:dyDescent="0.25">
      <c r="C16" s="79" t="s">
        <v>89</v>
      </c>
      <c r="D16" s="79"/>
      <c r="E16" s="80" t="s">
        <v>64</v>
      </c>
    </row>
    <row r="17" spans="1:8" x14ac:dyDescent="0.25">
      <c r="C17" s="79" t="s">
        <v>90</v>
      </c>
      <c r="D17" s="79"/>
      <c r="E17" s="80"/>
      <c r="F17" s="81" t="str">
        <f>"*"&amp;D17&amp;"*"</f>
        <v>**</v>
      </c>
      <c r="G17" s="81" t="str">
        <f>"*"&amp;E17&amp;"*"</f>
        <v>**</v>
      </c>
      <c r="H17" t="s">
        <v>91</v>
      </c>
    </row>
    <row r="18" spans="1:8" x14ac:dyDescent="0.25">
      <c r="C18" s="79" t="s">
        <v>92</v>
      </c>
      <c r="D18" s="79"/>
      <c r="E18" s="80" t="s">
        <v>64</v>
      </c>
    </row>
    <row r="19" spans="1:8" x14ac:dyDescent="0.25">
      <c r="C19" s="79" t="s">
        <v>93</v>
      </c>
      <c r="D19" s="79"/>
      <c r="E19" s="80"/>
      <c r="F19" s="81" t="str">
        <f>"*"&amp;D19&amp;"*"</f>
        <v>**</v>
      </c>
      <c r="G19" s="81" t="str">
        <f>"*"&amp;E19&amp;"*"</f>
        <v>**</v>
      </c>
      <c r="H19" t="s">
        <v>91</v>
      </c>
    </row>
    <row r="20" spans="1:8" x14ac:dyDescent="0.25">
      <c r="C20" s="82"/>
    </row>
    <row r="21" spans="1:8" ht="15.75" customHeight="1" x14ac:dyDescent="0.25">
      <c r="A21" t="s">
        <v>94</v>
      </c>
      <c r="C21" s="82" t="s">
        <v>95</v>
      </c>
    </row>
    <row r="22" spans="1:8" ht="20.25" customHeight="1" x14ac:dyDescent="0.25">
      <c r="C22" s="83" t="s">
        <v>96</v>
      </c>
      <c r="D22" s="79"/>
      <c r="G22" s="80">
        <f>IF(D22="", 2000,D22)</f>
        <v>2000</v>
      </c>
    </row>
    <row r="23" spans="1:8" ht="7.5" customHeight="1" x14ac:dyDescent="0.25"/>
    <row r="24" spans="1:8" ht="7.5" customHeight="1" x14ac:dyDescent="0.25"/>
    <row r="25" spans="1:8" ht="7.5" customHeight="1" x14ac:dyDescent="0.25"/>
    <row r="26" spans="1:8" ht="7.5" customHeight="1" x14ac:dyDescent="0.25">
      <c r="C26" s="79" t="s">
        <v>97</v>
      </c>
      <c r="D26" s="79" t="str">
        <f>"N"</f>
        <v>N</v>
      </c>
      <c r="E26" s="80" t="s">
        <v>64</v>
      </c>
      <c r="G26">
        <f>IF("Y"=D26,3,1)</f>
        <v>1</v>
      </c>
    </row>
    <row r="27" spans="1:8" ht="7.5" customHeight="1" x14ac:dyDescent="0.25">
      <c r="C27" s="79" t="s">
        <v>89</v>
      </c>
      <c r="D27" s="79" t="str">
        <f>""</f>
        <v/>
      </c>
      <c r="E27" s="80" t="s">
        <v>64</v>
      </c>
      <c r="G27" t="str">
        <f>IF(ISERROR(FIND("_",D27,4)),"event_notes",D27)</f>
        <v>event_notes</v>
      </c>
    </row>
    <row r="28" spans="1:8" ht="7.5" customHeight="1" x14ac:dyDescent="0.25">
      <c r="C28" s="79" t="s">
        <v>90</v>
      </c>
      <c r="D28" s="79" t="str">
        <f>""</f>
        <v/>
      </c>
      <c r="E28" s="80"/>
      <c r="F28" s="81"/>
      <c r="G28" s="81" t="str">
        <f>"*"&amp;D28&amp;"*"</f>
        <v>**</v>
      </c>
      <c r="H28" t="s">
        <v>91</v>
      </c>
    </row>
    <row r="29" spans="1:8" ht="7.5" customHeight="1" x14ac:dyDescent="0.25">
      <c r="C29" s="79" t="s">
        <v>98</v>
      </c>
      <c r="D29" s="79" t="str">
        <f>"''|Finance|Lease|New|Used"</f>
        <v>''|Finance|Lease|New|Used</v>
      </c>
      <c r="E29" s="80" t="s">
        <v>64</v>
      </c>
      <c r="G29" s="80" t="str">
        <f>IF($D29="", "*",$D29)</f>
        <v>''|Finance|Lease|New|Used</v>
      </c>
    </row>
    <row r="30" spans="1:8" ht="7.5" customHeight="1" x14ac:dyDescent="0.25">
      <c r="C30" s="79" t="s">
        <v>11</v>
      </c>
      <c r="D30" s="79" t="str">
        <f>"O|S"</f>
        <v>O|S</v>
      </c>
      <c r="E30" s="80" t="s">
        <v>64</v>
      </c>
      <c r="G30" s="80" t="str">
        <f>IF($D30="", "*",$D30)</f>
        <v>O|S</v>
      </c>
    </row>
    <row r="31" spans="1:8" ht="7.5" customHeight="1" x14ac:dyDescent="0.25">
      <c r="C31" s="79" t="s">
        <v>99</v>
      </c>
      <c r="D31" s="79"/>
      <c r="E31" s="80" t="s">
        <v>64</v>
      </c>
      <c r="G31" s="80" t="str">
        <f>IF($D31="Y","&lt;&gt;",IF($D31="N","=","*"))</f>
        <v>*</v>
      </c>
    </row>
    <row r="32" spans="1:8" ht="7.5" customHeight="1" x14ac:dyDescent="0.25">
      <c r="C32" s="79" t="s">
        <v>100</v>
      </c>
      <c r="D32" s="79" t="str">
        <f>""</f>
        <v/>
      </c>
      <c r="E32" s="80" t="s">
        <v>64</v>
      </c>
      <c r="G32" s="80" t="str">
        <f>IF($D32="", "*",$D32)</f>
        <v>*</v>
      </c>
    </row>
    <row r="33" spans="1:9" ht="7.5" customHeight="1" x14ac:dyDescent="0.25">
      <c r="C33" s="84" t="s">
        <v>101</v>
      </c>
      <c r="D33" s="79" t="str">
        <f>"n"</f>
        <v>n</v>
      </c>
      <c r="E33" s="80" t="s">
        <v>64</v>
      </c>
      <c r="G33" s="80" t="str">
        <f>IF($D33="", "N",$D33)</f>
        <v>n</v>
      </c>
    </row>
    <row r="34" spans="1:9" ht="7.5" customHeight="1" x14ac:dyDescent="0.25">
      <c r="C34" s="79" t="s">
        <v>102</v>
      </c>
      <c r="D34" s="79" t="s">
        <v>103</v>
      </c>
      <c r="E34" s="80"/>
      <c r="G34" s="80" t="str">
        <f>IF($G$33="Y", $I34,"*")</f>
        <v>*</v>
      </c>
      <c r="I34" t="s">
        <v>104</v>
      </c>
    </row>
    <row r="35" spans="1:9" ht="7.5" customHeight="1" x14ac:dyDescent="0.25">
      <c r="C35" s="83" t="s">
        <v>105</v>
      </c>
      <c r="D35" s="79"/>
      <c r="E35" s="80"/>
      <c r="G35" s="80" t="str">
        <f>IF($G$33="Y", $I35,"*")</f>
        <v>*</v>
      </c>
      <c r="I35" t="s">
        <v>106</v>
      </c>
    </row>
    <row r="36" spans="1:9" ht="7.5" customHeight="1" x14ac:dyDescent="0.25">
      <c r="C36" s="83" t="s">
        <v>107</v>
      </c>
      <c r="D36" s="79"/>
      <c r="G36" s="80" t="str">
        <f>IF($G$33="Y", $I36,"*")</f>
        <v>*</v>
      </c>
      <c r="I36" t="s">
        <v>108</v>
      </c>
    </row>
    <row r="37" spans="1:9" ht="7.5" customHeight="1" x14ac:dyDescent="0.25">
      <c r="C37" s="83" t="s">
        <v>109</v>
      </c>
      <c r="D37" s="79"/>
      <c r="G37" s="80" t="str">
        <f>IF($G$33="Y", $I37,"*")</f>
        <v>*</v>
      </c>
      <c r="I37" t="s">
        <v>108</v>
      </c>
    </row>
    <row r="38" spans="1:9" ht="7.5" customHeight="1" x14ac:dyDescent="0.25">
      <c r="C38" s="83" t="s">
        <v>96</v>
      </c>
      <c r="D38" s="79" t="str">
        <f>""</f>
        <v/>
      </c>
      <c r="G38" s="80">
        <f>IF(D38="", 2000,D38)</f>
        <v>2000</v>
      </c>
      <c r="I38" t="s">
        <v>108</v>
      </c>
    </row>
    <row r="39" spans="1:9" ht="7.5" customHeight="1" x14ac:dyDescent="0.25"/>
    <row r="40" spans="1:9" x14ac:dyDescent="0.25">
      <c r="C40" s="69" t="s">
        <v>110</v>
      </c>
      <c r="D40" s="69" t="s">
        <v>1288</v>
      </c>
    </row>
    <row r="43" spans="1:9" x14ac:dyDescent="0.25">
      <c r="A43" s="75" t="s">
        <v>111</v>
      </c>
    </row>
    <row r="44" spans="1:9" x14ac:dyDescent="0.25">
      <c r="A44" t="s">
        <v>112</v>
      </c>
      <c r="D44" t="s">
        <v>1289</v>
      </c>
    </row>
    <row r="45" spans="1:9" x14ac:dyDescent="0.25">
      <c r="A45" s="78" t="s">
        <v>113</v>
      </c>
      <c r="B45" s="68" t="s">
        <v>114</v>
      </c>
    </row>
    <row r="46" spans="1:9" x14ac:dyDescent="0.25">
      <c r="A46" s="69" t="s">
        <v>115</v>
      </c>
      <c r="B46" s="71" t="s">
        <v>114</v>
      </c>
    </row>
    <row r="47" spans="1:9" x14ac:dyDescent="0.25">
      <c r="A47" s="80" t="s">
        <v>116</v>
      </c>
      <c r="B47" s="81" t="s">
        <v>114</v>
      </c>
    </row>
    <row r="50" spans="1:1" x14ac:dyDescent="0.25">
      <c r="A50" t="s">
        <v>117</v>
      </c>
    </row>
    <row r="51" spans="1:1" x14ac:dyDescent="0.25">
      <c r="A51" t="s">
        <v>118</v>
      </c>
    </row>
    <row r="52" spans="1:1" x14ac:dyDescent="0.25">
      <c r="A52" t="s">
        <v>119</v>
      </c>
    </row>
    <row r="53" spans="1:1" x14ac:dyDescent="0.25">
      <c r="A53" t="s">
        <v>120</v>
      </c>
    </row>
    <row r="55" spans="1:1" x14ac:dyDescent="0.25">
      <c r="A55" s="85">
        <v>41229</v>
      </c>
    </row>
    <row r="56" spans="1:1" x14ac:dyDescent="0.25">
      <c r="A56" t="s">
        <v>121</v>
      </c>
    </row>
    <row r="58" spans="1:1" x14ac:dyDescent="0.25">
      <c r="A58" s="86">
        <v>41261</v>
      </c>
    </row>
    <row r="59" spans="1:1" x14ac:dyDescent="0.25">
      <c r="A59" t="s">
        <v>122</v>
      </c>
    </row>
    <row r="61" spans="1:1" x14ac:dyDescent="0.25">
      <c r="A61" s="86">
        <v>41278</v>
      </c>
    </row>
    <row r="62" spans="1:1" x14ac:dyDescent="0.25">
      <c r="A62" t="s">
        <v>123</v>
      </c>
    </row>
    <row r="63" spans="1:1" x14ac:dyDescent="0.25">
      <c r="A63" t="s">
        <v>124</v>
      </c>
    </row>
    <row r="64" spans="1:1" x14ac:dyDescent="0.25">
      <c r="A64" t="s">
        <v>125</v>
      </c>
    </row>
    <row r="67" spans="1:1" x14ac:dyDescent="0.25">
      <c r="A67" s="86">
        <v>41291</v>
      </c>
    </row>
    <row r="68" spans="1:1" x14ac:dyDescent="0.25">
      <c r="A68" t="s">
        <v>126</v>
      </c>
    </row>
    <row r="69" spans="1:1" x14ac:dyDescent="0.25">
      <c r="A69" t="s">
        <v>127</v>
      </c>
    </row>
    <row r="72" spans="1:1" x14ac:dyDescent="0.25">
      <c r="A72" s="86">
        <v>41480</v>
      </c>
    </row>
    <row r="73" spans="1:1" x14ac:dyDescent="0.25">
      <c r="A73" t="s">
        <v>128</v>
      </c>
    </row>
    <row r="74" spans="1:1" x14ac:dyDescent="0.25">
      <c r="A74" t="s">
        <v>129</v>
      </c>
    </row>
    <row r="77" spans="1:1" x14ac:dyDescent="0.25">
      <c r="A77" s="86">
        <v>41631</v>
      </c>
    </row>
    <row r="78" spans="1:1" x14ac:dyDescent="0.25">
      <c r="A78" t="s">
        <v>130</v>
      </c>
    </row>
    <row r="82" spans="1:1" x14ac:dyDescent="0.25">
      <c r="A82" s="86">
        <v>41925</v>
      </c>
    </row>
    <row r="83" spans="1:1" x14ac:dyDescent="0.25">
      <c r="A83" t="s">
        <v>131</v>
      </c>
    </row>
    <row r="84" spans="1:1" x14ac:dyDescent="0.25">
      <c r="A84" t="s">
        <v>132</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49"/>
  <sheetViews>
    <sheetView tabSelected="1" topLeftCell="AS14" zoomScaleNormal="100" workbookViewId="0">
      <selection activeCell="AF23" sqref="AF23"/>
    </sheetView>
  </sheetViews>
  <sheetFormatPr defaultColWidth="20.7109375" defaultRowHeight="15" x14ac:dyDescent="0.25"/>
  <cols>
    <col min="1" max="1" width="9.140625" style="20" hidden="1" customWidth="1"/>
    <col min="2" max="2" width="24.7109375" style="20" hidden="1" customWidth="1"/>
    <col min="3" max="3" width="16.28515625" style="20" hidden="1" customWidth="1"/>
    <col min="4" max="4" width="18" style="20" hidden="1" customWidth="1"/>
    <col min="5" max="5" width="11.7109375" style="26" customWidth="1"/>
    <col min="6" max="6" width="10.5703125" style="26" customWidth="1"/>
    <col min="7" max="7" width="5.7109375" style="26" customWidth="1"/>
    <col min="8" max="8" width="16.7109375" style="26" customWidth="1"/>
    <col min="9" max="11" width="13" style="26" customWidth="1"/>
    <col min="12" max="12" width="15.28515625" style="26" bestFit="1" customWidth="1"/>
    <col min="13" max="13" width="8.140625" style="26" customWidth="1"/>
    <col min="14" max="14" width="21.140625" style="26" customWidth="1"/>
    <col min="15" max="15" width="19.5703125" style="26" customWidth="1"/>
    <col min="16" max="16" width="13.42578125" style="26" customWidth="1"/>
    <col min="17" max="17" width="2.85546875" style="26" hidden="1" customWidth="1"/>
    <col min="18" max="18" width="11.7109375" style="30" customWidth="1"/>
    <col min="19" max="20" width="4.85546875" style="30" hidden="1" customWidth="1"/>
    <col min="21" max="21" width="12.28515625" style="26" hidden="1" customWidth="1"/>
    <col min="22" max="23" width="7.85546875" style="1" hidden="1" customWidth="1"/>
    <col min="24" max="24" width="10.42578125" style="1" hidden="1" customWidth="1"/>
    <col min="25" max="25" width="8.42578125" style="1" hidden="1" customWidth="1"/>
    <col min="26" max="26" width="11.42578125" style="1" hidden="1" customWidth="1"/>
    <col min="27" max="27" width="10.42578125" style="26" hidden="1" customWidth="1"/>
    <col min="28" max="28" width="11.28515625" style="26" hidden="1" customWidth="1"/>
    <col min="29" max="29" width="8.5703125" style="26" hidden="1" customWidth="1"/>
    <col min="30" max="30" width="5.140625" style="26" hidden="1" customWidth="1"/>
    <col min="31" max="31" width="9.85546875" style="26" hidden="1" customWidth="1"/>
    <col min="32" max="32" width="19.28515625" style="26" hidden="1" customWidth="1"/>
    <col min="33" max="33" width="12.42578125" style="26" hidden="1" customWidth="1"/>
    <col min="34" max="41" width="10.7109375" style="26" hidden="1" customWidth="1"/>
    <col min="42" max="44" width="20.7109375" style="26" hidden="1" customWidth="1"/>
    <col min="45" max="45" width="20.7109375" style="26"/>
    <col min="46" max="51" width="20.7109375" style="5"/>
    <col min="52" max="62" width="20.7109375" style="57" hidden="1" customWidth="1"/>
    <col min="63" max="16384" width="20.7109375" style="26"/>
  </cols>
  <sheetData>
    <row r="1" spans="1:65" s="20" customFormat="1" hidden="1" x14ac:dyDescent="0.25">
      <c r="A1" s="2" t="s">
        <v>260</v>
      </c>
      <c r="B1" s="20" t="s">
        <v>0</v>
      </c>
      <c r="C1" s="20" t="s">
        <v>0</v>
      </c>
      <c r="D1" s="20" t="s">
        <v>0</v>
      </c>
      <c r="L1" s="20" t="s">
        <v>40</v>
      </c>
      <c r="N1" s="2"/>
      <c r="Q1" s="2" t="s">
        <v>12</v>
      </c>
      <c r="R1" s="21"/>
      <c r="S1" s="6" t="s">
        <v>12</v>
      </c>
      <c r="T1" s="6" t="s">
        <v>12</v>
      </c>
      <c r="U1" s="7" t="s">
        <v>12</v>
      </c>
      <c r="V1" s="7" t="s">
        <v>12</v>
      </c>
      <c r="W1" s="7" t="s">
        <v>12</v>
      </c>
      <c r="X1" s="7" t="s">
        <v>12</v>
      </c>
      <c r="Y1" s="7" t="s">
        <v>12</v>
      </c>
      <c r="Z1" s="7" t="s">
        <v>12</v>
      </c>
      <c r="AA1" s="7" t="s">
        <v>12</v>
      </c>
      <c r="AB1" s="7" t="s">
        <v>12</v>
      </c>
      <c r="AC1" s="7" t="s">
        <v>12</v>
      </c>
      <c r="AD1" s="7" t="s">
        <v>12</v>
      </c>
      <c r="AE1" s="7" t="s">
        <v>12</v>
      </c>
      <c r="AF1" s="7" t="s">
        <v>12</v>
      </c>
      <c r="AG1" s="7" t="s">
        <v>12</v>
      </c>
      <c r="AH1" s="7" t="s">
        <v>12</v>
      </c>
      <c r="AI1" s="7" t="s">
        <v>12</v>
      </c>
      <c r="AJ1" s="7" t="s">
        <v>12</v>
      </c>
      <c r="AK1" s="7" t="s">
        <v>12</v>
      </c>
      <c r="AL1" s="7" t="s">
        <v>12</v>
      </c>
      <c r="AM1" s="7" t="s">
        <v>12</v>
      </c>
      <c r="AN1" s="7" t="s">
        <v>12</v>
      </c>
      <c r="AO1" s="7" t="s">
        <v>12</v>
      </c>
      <c r="AP1" s="7" t="s">
        <v>12</v>
      </c>
      <c r="AQ1" s="7" t="s">
        <v>12</v>
      </c>
      <c r="AR1" s="7" t="s">
        <v>12</v>
      </c>
      <c r="AS1" s="7"/>
      <c r="AT1" s="7"/>
      <c r="AU1" s="7"/>
      <c r="AV1" s="7"/>
      <c r="AW1" s="7"/>
      <c r="AX1" s="7"/>
      <c r="AY1" s="7"/>
      <c r="AZ1" s="53" t="s">
        <v>12</v>
      </c>
      <c r="BA1" s="53" t="s">
        <v>12</v>
      </c>
      <c r="BB1" s="53" t="s">
        <v>12</v>
      </c>
      <c r="BC1" s="53" t="s">
        <v>12</v>
      </c>
      <c r="BD1" s="53" t="s">
        <v>12</v>
      </c>
      <c r="BE1" s="53" t="s">
        <v>12</v>
      </c>
      <c r="BF1" s="53" t="s">
        <v>12</v>
      </c>
      <c r="BG1" s="53" t="s">
        <v>12</v>
      </c>
      <c r="BH1" s="53" t="s">
        <v>12</v>
      </c>
      <c r="BI1" s="53" t="s">
        <v>12</v>
      </c>
      <c r="BJ1" s="53" t="s">
        <v>12</v>
      </c>
      <c r="BK1" s="7"/>
      <c r="BL1" s="7"/>
      <c r="BM1" s="7"/>
    </row>
    <row r="2" spans="1:65" s="20" customFormat="1" hidden="1" x14ac:dyDescent="0.25">
      <c r="A2" s="20" t="s">
        <v>0</v>
      </c>
      <c r="C2" s="22"/>
      <c r="D2" s="22"/>
      <c r="E2" s="52"/>
      <c r="G2" s="22"/>
      <c r="R2" s="21"/>
      <c r="S2" s="21"/>
      <c r="T2" s="21"/>
      <c r="U2" s="7"/>
      <c r="V2" s="8"/>
      <c r="W2" s="8"/>
      <c r="X2" s="8"/>
      <c r="Y2" s="3"/>
      <c r="Z2" s="3"/>
      <c r="AT2" s="4"/>
      <c r="AU2" s="4"/>
      <c r="AV2" s="4"/>
      <c r="AW2" s="4"/>
      <c r="AX2" s="4"/>
      <c r="AY2" s="4"/>
      <c r="AZ2" s="53"/>
      <c r="BA2" s="53"/>
      <c r="BB2" s="53"/>
      <c r="BC2" s="53"/>
      <c r="BD2" s="53"/>
      <c r="BE2" s="53"/>
      <c r="BF2" s="53"/>
      <c r="BG2" s="53"/>
      <c r="BH2" s="53"/>
      <c r="BI2" s="53"/>
      <c r="BJ2" s="53"/>
    </row>
    <row r="3" spans="1:65" s="20" customFormat="1" hidden="1" x14ac:dyDescent="0.25">
      <c r="A3" s="20" t="s">
        <v>0</v>
      </c>
      <c r="C3" s="22"/>
      <c r="R3" s="21"/>
      <c r="S3" s="21"/>
      <c r="T3" s="21"/>
      <c r="U3" s="7"/>
      <c r="V3" s="8"/>
      <c r="W3" s="8"/>
      <c r="X3" s="8"/>
      <c r="Y3" s="3"/>
      <c r="Z3" s="3"/>
      <c r="AT3" s="4"/>
      <c r="AU3" s="4"/>
      <c r="AV3" s="4"/>
      <c r="AW3" s="4"/>
      <c r="AX3" s="4"/>
      <c r="AY3" s="4"/>
      <c r="AZ3" s="53"/>
      <c r="BA3" s="53"/>
      <c r="BB3" s="53"/>
      <c r="BC3" s="53"/>
      <c r="BD3" s="53"/>
      <c r="BE3" s="53"/>
      <c r="BF3" s="53"/>
      <c r="BG3" s="53"/>
      <c r="BH3" s="53"/>
      <c r="BI3" s="53"/>
      <c r="BJ3" s="53"/>
    </row>
    <row r="4" spans="1:65" s="20" customFormat="1" hidden="1" x14ac:dyDescent="0.25">
      <c r="A4" s="20" t="s">
        <v>0</v>
      </c>
      <c r="B4" s="20" t="s">
        <v>13</v>
      </c>
      <c r="C4" s="22" t="s">
        <v>1287</v>
      </c>
      <c r="R4" s="21"/>
      <c r="S4" s="21"/>
      <c r="T4" s="21"/>
      <c r="U4" s="7"/>
      <c r="V4" s="8"/>
      <c r="W4" s="8"/>
      <c r="X4" s="8"/>
      <c r="Y4" s="3"/>
      <c r="Z4" s="3"/>
      <c r="AT4" s="4"/>
      <c r="AU4" s="4"/>
      <c r="AV4" s="4"/>
      <c r="AW4" s="4"/>
      <c r="AX4" s="4"/>
      <c r="AY4" s="4"/>
      <c r="AZ4" s="53"/>
      <c r="BA4" s="53"/>
      <c r="BB4" s="53"/>
      <c r="BC4" s="53"/>
      <c r="BD4" s="53"/>
      <c r="BE4" s="53"/>
      <c r="BF4" s="53"/>
      <c r="BG4" s="53"/>
      <c r="BH4" s="53"/>
      <c r="BI4" s="53"/>
      <c r="BJ4" s="53"/>
    </row>
    <row r="5" spans="1:65" s="20" customFormat="1" hidden="1" x14ac:dyDescent="0.25">
      <c r="A5" s="20" t="s">
        <v>0</v>
      </c>
      <c r="C5" s="22" t="s">
        <v>1290</v>
      </c>
      <c r="D5" s="22"/>
      <c r="R5" s="21"/>
      <c r="S5" s="21"/>
      <c r="T5" s="21"/>
      <c r="U5" s="7"/>
      <c r="V5" s="8"/>
      <c r="W5" s="8"/>
      <c r="X5" s="8"/>
      <c r="Y5" s="3"/>
      <c r="Z5" s="3"/>
      <c r="AT5" s="4"/>
      <c r="AU5" s="4"/>
      <c r="AV5" s="4"/>
      <c r="AW5" s="4"/>
      <c r="AX5" s="4"/>
      <c r="AY5" s="4"/>
      <c r="AZ5" s="53"/>
      <c r="BA5" s="53"/>
      <c r="BB5" s="53"/>
      <c r="BC5" s="53"/>
      <c r="BD5" s="53"/>
      <c r="BE5" s="53"/>
      <c r="BF5" s="53"/>
      <c r="BG5" s="53"/>
      <c r="BH5" s="53"/>
      <c r="BI5" s="53"/>
      <c r="BJ5" s="53"/>
    </row>
    <row r="6" spans="1:65" s="20" customFormat="1" hidden="1" x14ac:dyDescent="0.25">
      <c r="A6" s="20" t="s">
        <v>0</v>
      </c>
      <c r="C6" s="31"/>
      <c r="D6" s="22"/>
      <c r="R6" s="21"/>
      <c r="S6" s="21"/>
      <c r="T6" s="21"/>
      <c r="U6" s="7"/>
      <c r="V6" s="8"/>
      <c r="W6" s="8"/>
      <c r="X6" s="8"/>
      <c r="Y6" s="3"/>
      <c r="Z6" s="3"/>
      <c r="AT6" s="4"/>
      <c r="AU6" s="4"/>
      <c r="AV6" s="4"/>
      <c r="AW6" s="4"/>
      <c r="AX6" s="4"/>
      <c r="AY6" s="4"/>
      <c r="AZ6" s="53"/>
      <c r="BA6" s="53"/>
      <c r="BB6" s="53"/>
      <c r="BC6" s="53"/>
      <c r="BD6" s="53"/>
      <c r="BE6" s="53"/>
      <c r="BF6" s="53"/>
      <c r="BG6" s="53"/>
      <c r="BH6" s="53"/>
      <c r="BI6" s="53"/>
      <c r="BJ6" s="53"/>
    </row>
    <row r="7" spans="1:65" s="20" customFormat="1" hidden="1" x14ac:dyDescent="0.25">
      <c r="A7" s="20" t="s">
        <v>0</v>
      </c>
      <c r="B7" s="20" t="s">
        <v>1</v>
      </c>
      <c r="C7" s="20">
        <v>214710</v>
      </c>
      <c r="D7"/>
      <c r="R7" s="21"/>
      <c r="S7" s="21"/>
      <c r="T7" s="21"/>
      <c r="U7" s="7"/>
      <c r="V7" s="8"/>
      <c r="W7" s="8"/>
      <c r="X7" s="8"/>
      <c r="Y7" s="3"/>
      <c r="Z7" s="3"/>
      <c r="AT7" s="4"/>
      <c r="AU7" s="4"/>
      <c r="AV7" s="4"/>
      <c r="AW7" s="4"/>
      <c r="AX7" s="4"/>
      <c r="AY7" s="4"/>
      <c r="AZ7" s="53"/>
      <c r="BA7" s="53"/>
      <c r="BB7" s="53"/>
      <c r="BC7" s="53"/>
      <c r="BD7" s="53"/>
      <c r="BE7" s="53"/>
      <c r="BF7" s="53"/>
      <c r="BG7" s="53"/>
      <c r="BH7" s="53"/>
      <c r="BI7" s="53"/>
      <c r="BJ7" s="53"/>
    </row>
    <row r="8" spans="1:65" s="20" customFormat="1" hidden="1" x14ac:dyDescent="0.25">
      <c r="A8" s="20" t="s">
        <v>0</v>
      </c>
      <c r="C8" s="2"/>
      <c r="R8" s="21"/>
      <c r="S8" s="21"/>
      <c r="T8" s="21"/>
      <c r="U8" s="7"/>
      <c r="V8" s="8"/>
      <c r="W8" s="8"/>
      <c r="X8" s="8"/>
      <c r="Y8" s="3"/>
      <c r="Z8" s="3"/>
      <c r="AT8" s="4"/>
      <c r="AU8" s="4"/>
      <c r="AV8" s="4"/>
      <c r="AW8" s="4"/>
      <c r="AX8" s="4"/>
      <c r="AY8" s="4"/>
      <c r="AZ8" s="53"/>
      <c r="BA8" s="53"/>
      <c r="BB8" s="53"/>
      <c r="BC8" s="53"/>
      <c r="BD8" s="53"/>
      <c r="BE8" s="53"/>
      <c r="BF8" s="53"/>
      <c r="BG8" s="53"/>
      <c r="BH8" s="53"/>
      <c r="BI8" s="53"/>
      <c r="BJ8" s="53"/>
    </row>
    <row r="9" spans="1:65" s="20" customFormat="1" hidden="1" x14ac:dyDescent="0.25">
      <c r="A9" s="20" t="s">
        <v>0</v>
      </c>
      <c r="B9" s="20" t="s">
        <v>30</v>
      </c>
      <c r="C9" s="20">
        <f>26501</f>
        <v>26501</v>
      </c>
      <c r="R9" s="21"/>
      <c r="S9" s="21"/>
      <c r="T9" s="21"/>
      <c r="U9" s="7"/>
      <c r="V9" s="8"/>
      <c r="W9" s="8"/>
      <c r="X9" s="8"/>
      <c r="Y9" s="3"/>
      <c r="Z9" s="3"/>
      <c r="AT9" s="4"/>
      <c r="AU9" s="4"/>
      <c r="AV9" s="4"/>
      <c r="AW9" s="4"/>
      <c r="AX9" s="4"/>
      <c r="AY9" s="4"/>
      <c r="AZ9" s="53"/>
      <c r="BA9" s="53"/>
      <c r="BB9" s="53"/>
      <c r="BC9" s="53"/>
      <c r="BD9" s="53"/>
      <c r="BE9" s="53"/>
      <c r="BF9" s="53"/>
      <c r="BG9" s="53"/>
      <c r="BH9" s="53"/>
      <c r="BI9" s="53"/>
      <c r="BJ9" s="53"/>
    </row>
    <row r="10" spans="1:65" s="20" customFormat="1" ht="15" hidden="1" customHeight="1" x14ac:dyDescent="0.25">
      <c r="A10" s="20" t="s">
        <v>0</v>
      </c>
      <c r="B10" s="20" t="s">
        <v>2</v>
      </c>
      <c r="C10" s="20">
        <v>0</v>
      </c>
      <c r="R10" s="21"/>
      <c r="S10" s="21"/>
      <c r="T10" s="21"/>
      <c r="U10" s="7"/>
      <c r="V10" s="8"/>
      <c r="W10" s="8"/>
      <c r="X10" s="8"/>
      <c r="Y10" s="3"/>
      <c r="Z10" s="3"/>
      <c r="AT10" s="4"/>
      <c r="AU10" s="4"/>
      <c r="AV10" s="4"/>
      <c r="AW10" s="4"/>
      <c r="AX10" s="4"/>
      <c r="AY10" s="4"/>
      <c r="AZ10" s="53"/>
      <c r="BA10" s="53"/>
      <c r="BB10" s="53"/>
      <c r="BC10" s="53"/>
      <c r="BD10" s="53"/>
      <c r="BE10" s="53"/>
      <c r="BF10" s="53"/>
      <c r="BG10" s="53"/>
      <c r="BH10" s="53"/>
      <c r="BI10" s="53"/>
      <c r="BJ10" s="53"/>
    </row>
    <row r="11" spans="1:65" s="20" customFormat="1" ht="15" hidden="1" customHeight="1" x14ac:dyDescent="0.25">
      <c r="A11" s="20" t="s">
        <v>0</v>
      </c>
      <c r="B11" s="20" t="s">
        <v>17</v>
      </c>
      <c r="C11" s="2" t="s">
        <v>56</v>
      </c>
      <c r="R11" s="21"/>
      <c r="S11" s="21"/>
      <c r="T11" s="21"/>
      <c r="U11" s="7"/>
      <c r="V11" s="8"/>
      <c r="W11" s="8"/>
      <c r="X11" s="8"/>
      <c r="Y11" s="3"/>
      <c r="Z11" s="3"/>
      <c r="AT11" s="4"/>
      <c r="AU11" s="4"/>
      <c r="AV11" s="4"/>
      <c r="AW11" s="4"/>
      <c r="AX11" s="4"/>
      <c r="AY11" s="4"/>
      <c r="AZ11" s="53"/>
      <c r="BA11" s="53"/>
      <c r="BB11" s="53"/>
      <c r="BC11" s="53"/>
      <c r="BD11" s="53"/>
      <c r="BE11" s="53"/>
      <c r="BF11" s="53"/>
      <c r="BG11" s="53"/>
      <c r="BH11" s="53"/>
      <c r="BI11" s="53"/>
      <c r="BJ11" s="53"/>
    </row>
    <row r="12" spans="1:65" s="20" customFormat="1" ht="15" hidden="1" customHeight="1" x14ac:dyDescent="0.25">
      <c r="A12" s="20" t="s">
        <v>0</v>
      </c>
      <c r="B12" s="47" t="s">
        <v>41</v>
      </c>
      <c r="C12" s="47" t="s">
        <v>42</v>
      </c>
      <c r="R12" s="21"/>
      <c r="S12" s="21"/>
      <c r="T12" s="21"/>
      <c r="U12" s="7"/>
      <c r="V12" s="8"/>
      <c r="W12" s="8"/>
      <c r="X12" s="8"/>
      <c r="Y12" s="3"/>
      <c r="Z12" s="3"/>
      <c r="AT12" s="4"/>
      <c r="AU12" s="4"/>
      <c r="AV12" s="4"/>
      <c r="AW12" s="4"/>
      <c r="AX12" s="4"/>
      <c r="AY12" s="4"/>
      <c r="AZ12" s="53"/>
      <c r="BA12" s="53"/>
      <c r="BB12" s="53"/>
      <c r="BC12" s="53"/>
      <c r="BD12" s="53"/>
      <c r="BE12" s="53"/>
      <c r="BF12" s="53"/>
      <c r="BG12" s="53"/>
      <c r="BH12" s="53"/>
      <c r="BI12" s="53"/>
      <c r="BJ12" s="53"/>
    </row>
    <row r="13" spans="1:65" s="20" customFormat="1" ht="15" hidden="1" customHeight="1" x14ac:dyDescent="0.25">
      <c r="A13" s="2" t="s">
        <v>0</v>
      </c>
      <c r="R13" s="21"/>
      <c r="S13" s="21"/>
      <c r="T13" s="21"/>
      <c r="U13" s="7"/>
      <c r="V13" s="8"/>
      <c r="W13" s="8"/>
      <c r="X13" s="8"/>
      <c r="Y13" s="3"/>
      <c r="Z13" s="3"/>
      <c r="AT13" s="4"/>
      <c r="AU13" s="4"/>
      <c r="AV13" s="4"/>
      <c r="AW13" s="4"/>
      <c r="AX13" s="4"/>
      <c r="AY13" s="4"/>
      <c r="AZ13" s="53"/>
      <c r="BA13" s="53"/>
      <c r="BB13" s="53"/>
      <c r="BC13" s="53"/>
      <c r="BD13" s="53"/>
      <c r="BE13" s="53"/>
      <c r="BF13" s="53"/>
      <c r="BG13" s="53"/>
      <c r="BH13" s="53"/>
      <c r="BI13" s="53"/>
      <c r="BJ13" s="53"/>
    </row>
    <row r="14" spans="1:65" s="20" customFormat="1" ht="24" customHeight="1" x14ac:dyDescent="0.35">
      <c r="E14" s="88" t="str">
        <f>"CallRevu Strong Close Report for " &amp; "Benson Nissan of Spartanburg"</f>
        <v>CallRevu Strong Close Report for Benson Nissan of Spartanburg</v>
      </c>
      <c r="F14" s="88"/>
      <c r="G14" s="88"/>
      <c r="H14" s="88"/>
      <c r="I14" s="88"/>
      <c r="J14" s="88"/>
      <c r="K14" s="88"/>
      <c r="L14" s="88"/>
      <c r="R14" s="21"/>
      <c r="S14" s="21"/>
      <c r="T14" s="21"/>
      <c r="U14" s="7"/>
      <c r="V14" s="8"/>
      <c r="W14" s="8"/>
      <c r="X14" s="8"/>
      <c r="Y14" s="3"/>
      <c r="Z14" s="3"/>
      <c r="AT14" s="4"/>
      <c r="AU14" s="4"/>
      <c r="AV14" s="4"/>
      <c r="AW14" s="4"/>
      <c r="AX14" s="4"/>
      <c r="AY14" s="4"/>
      <c r="AZ14" s="53"/>
      <c r="BA14" s="53"/>
      <c r="BB14" s="53"/>
      <c r="BC14" s="53"/>
      <c r="BD14" s="53"/>
      <c r="BE14" s="53"/>
      <c r="BF14" s="53"/>
      <c r="BG14" s="53"/>
      <c r="BH14" s="53"/>
      <c r="BI14" s="53"/>
      <c r="BJ14" s="53"/>
    </row>
    <row r="15" spans="1:65" s="20" customFormat="1" ht="24" customHeight="1" x14ac:dyDescent="0.35">
      <c r="E15" s="63" t="str">
        <f>"Calls Marked with 'Sales Appt Opportunity"</f>
        <v>Calls Marked with 'Sales Appt Opportunity</v>
      </c>
      <c r="F15" s="61"/>
      <c r="G15" s="61"/>
      <c r="H15" s="61"/>
      <c r="I15" s="61"/>
      <c r="J15" s="61"/>
      <c r="K15" s="61"/>
      <c r="L15" s="61"/>
      <c r="R15" s="21"/>
      <c r="S15" s="21"/>
      <c r="T15" s="21"/>
      <c r="U15" s="7"/>
      <c r="V15" s="8"/>
      <c r="W15" s="8"/>
      <c r="X15" s="8"/>
      <c r="Y15" s="3"/>
      <c r="Z15" s="3"/>
      <c r="AT15" s="4"/>
      <c r="AU15" s="4"/>
      <c r="AV15" s="4"/>
      <c r="AW15" s="4"/>
      <c r="AX15" s="4"/>
      <c r="AY15" s="4"/>
      <c r="AZ15" s="53"/>
      <c r="BA15" s="53"/>
      <c r="BB15" s="53"/>
      <c r="BC15" s="53"/>
      <c r="BD15" s="53"/>
      <c r="BE15" s="53"/>
      <c r="BF15" s="53"/>
      <c r="BG15" s="53"/>
      <c r="BH15" s="53"/>
      <c r="BI15" s="53"/>
      <c r="BJ15" s="53"/>
    </row>
    <row r="16" spans="1:65" s="20" customFormat="1" ht="19.5" customHeight="1" x14ac:dyDescent="0.35">
      <c r="E16" s="87" t="str">
        <f>C5</f>
        <v>Time Period Reported:  May 01 Through May 28 2024</v>
      </c>
      <c r="F16" s="60"/>
      <c r="G16" s="60"/>
      <c r="H16" s="60"/>
      <c r="I16" s="60"/>
      <c r="J16" s="60"/>
      <c r="K16" s="60"/>
      <c r="L16" s="60"/>
      <c r="R16" s="21"/>
      <c r="S16" s="21"/>
      <c r="T16" s="21"/>
      <c r="U16" s="7"/>
      <c r="V16" s="8"/>
      <c r="W16" s="8"/>
      <c r="X16" s="8"/>
      <c r="Y16" s="3"/>
      <c r="Z16" s="3"/>
      <c r="AT16" s="4"/>
      <c r="AU16" s="4"/>
      <c r="AV16" s="4"/>
      <c r="AW16" s="4"/>
      <c r="AX16" s="4"/>
      <c r="AY16" s="4"/>
      <c r="AZ16" s="53"/>
      <c r="BA16" s="53"/>
      <c r="BB16" s="53"/>
      <c r="BC16" s="53"/>
      <c r="BD16" s="53"/>
      <c r="BE16" s="53"/>
      <c r="BF16" s="53"/>
      <c r="BG16" s="53"/>
      <c r="BH16" s="53"/>
      <c r="BI16" s="53"/>
      <c r="BJ16" s="53"/>
    </row>
    <row r="17" spans="1:68" s="20" customFormat="1" ht="19.5" customHeight="1" x14ac:dyDescent="0.35">
      <c r="E17" s="20" t="s">
        <v>58</v>
      </c>
      <c r="F17" s="64"/>
      <c r="G17" s="64"/>
      <c r="H17" s="64"/>
      <c r="I17" s="64"/>
      <c r="J17" s="64"/>
      <c r="K17" s="64"/>
      <c r="L17" s="64"/>
      <c r="R17" s="21"/>
      <c r="S17" s="21"/>
      <c r="T17" s="21"/>
      <c r="U17" s="7"/>
      <c r="V17" s="8"/>
      <c r="W17" s="8"/>
      <c r="X17" s="8"/>
      <c r="Y17" s="3"/>
      <c r="Z17" s="3"/>
      <c r="AT17" s="4"/>
      <c r="AU17" s="4"/>
      <c r="AV17" s="4"/>
      <c r="AW17" s="4"/>
      <c r="AX17" s="4"/>
      <c r="AY17" s="4"/>
      <c r="AZ17" s="53"/>
      <c r="BA17" s="53"/>
      <c r="BB17" s="53"/>
      <c r="BC17" s="53"/>
      <c r="BD17" s="53"/>
      <c r="BE17" s="53"/>
      <c r="BF17" s="53"/>
      <c r="BG17" s="53"/>
      <c r="BH17" s="53"/>
      <c r="BI17" s="53"/>
      <c r="BJ17" s="53"/>
    </row>
    <row r="18" spans="1:68" s="20" customFormat="1" ht="19.5" customHeight="1" x14ac:dyDescent="0.35">
      <c r="E18" s="47" t="s">
        <v>59</v>
      </c>
      <c r="F18" s="64"/>
      <c r="G18" s="64"/>
      <c r="H18" s="64"/>
      <c r="I18" s="64"/>
      <c r="J18" s="64"/>
      <c r="K18" s="64"/>
      <c r="L18" s="64"/>
      <c r="R18" s="21"/>
      <c r="S18" s="21"/>
      <c r="T18" s="21"/>
      <c r="U18" s="7"/>
      <c r="V18" s="8"/>
      <c r="W18" s="8"/>
      <c r="X18" s="8"/>
      <c r="Y18" s="3"/>
      <c r="Z18" s="3"/>
      <c r="AT18" s="4"/>
      <c r="AU18" s="4"/>
      <c r="AV18" s="4"/>
      <c r="AW18" s="4"/>
      <c r="AX18" s="4"/>
      <c r="AY18" s="4"/>
      <c r="AZ18" s="53"/>
      <c r="BA18" s="53"/>
      <c r="BB18" s="53"/>
      <c r="BC18" s="53"/>
      <c r="BD18" s="53"/>
      <c r="BE18" s="53"/>
      <c r="BF18" s="53"/>
      <c r="BG18" s="53"/>
      <c r="BH18" s="53"/>
      <c r="BI18" s="53"/>
      <c r="BJ18" s="53"/>
    </row>
    <row r="19" spans="1:68" s="20" customFormat="1" ht="19.5" customHeight="1" thickBot="1" x14ac:dyDescent="0.4">
      <c r="E19"/>
      <c r="F19" s="64"/>
      <c r="G19" s="64"/>
      <c r="H19" s="64"/>
      <c r="I19" s="64"/>
      <c r="J19" s="64"/>
      <c r="K19" s="64"/>
      <c r="L19" s="64"/>
      <c r="R19" s="21"/>
      <c r="S19" s="21"/>
      <c r="T19" s="21"/>
      <c r="U19" s="7"/>
      <c r="V19" s="8"/>
      <c r="W19" s="8"/>
      <c r="X19" s="8"/>
      <c r="Y19" s="3"/>
      <c r="Z19" s="3"/>
      <c r="AT19" s="4"/>
      <c r="AU19" s="4"/>
      <c r="AV19" s="4"/>
      <c r="AW19" s="4"/>
      <c r="AX19" s="4"/>
      <c r="AY19" s="4"/>
      <c r="AZ19" s="53"/>
      <c r="BA19" s="53"/>
      <c r="BB19" s="53"/>
      <c r="BC19" s="53"/>
      <c r="BD19" s="53"/>
      <c r="BE19" s="53"/>
      <c r="BF19" s="53"/>
      <c r="BG19" s="53"/>
      <c r="BH19" s="53"/>
      <c r="BI19" s="53"/>
      <c r="BJ19" s="53"/>
    </row>
    <row r="20" spans="1:68" s="20" customFormat="1" ht="15" hidden="1" customHeight="1" thickBot="1" x14ac:dyDescent="0.3">
      <c r="A20" s="20" t="s">
        <v>12</v>
      </c>
      <c r="B20" s="25"/>
      <c r="E20" s="20" t="s">
        <v>30</v>
      </c>
      <c r="F20" s="20" t="s">
        <v>18</v>
      </c>
      <c r="G20" s="20" t="s">
        <v>19</v>
      </c>
      <c r="H20" s="20" t="s">
        <v>20</v>
      </c>
      <c r="I20" s="20" t="s">
        <v>21</v>
      </c>
      <c r="J20" s="20" t="s">
        <v>22</v>
      </c>
      <c r="K20" s="20" t="s">
        <v>23</v>
      </c>
      <c r="L20" s="20" t="s">
        <v>24</v>
      </c>
      <c r="M20" s="20" t="s">
        <v>25</v>
      </c>
      <c r="N20" s="20" t="s">
        <v>26</v>
      </c>
      <c r="O20" s="20" t="s">
        <v>27</v>
      </c>
      <c r="P20" s="20" t="s">
        <v>28</v>
      </c>
      <c r="Q20" s="32" t="s">
        <v>29</v>
      </c>
      <c r="R20" s="21"/>
      <c r="S20" s="21"/>
      <c r="T20" s="21"/>
      <c r="U20" s="8"/>
      <c r="V20" s="8"/>
      <c r="W20" s="8"/>
      <c r="X20" s="8"/>
      <c r="Y20" s="3"/>
      <c r="AD20" s="24"/>
      <c r="AE20" s="24"/>
      <c r="AT20" s="4"/>
      <c r="AU20" s="4"/>
      <c r="AV20" s="4"/>
      <c r="AW20" s="4"/>
      <c r="AX20" s="4"/>
      <c r="AY20" s="4"/>
      <c r="AZ20" s="53"/>
      <c r="BA20" s="53"/>
      <c r="BB20" s="53"/>
      <c r="BC20" s="53"/>
      <c r="BD20" s="53"/>
      <c r="BE20" s="53"/>
      <c r="BF20" s="53"/>
      <c r="BG20" s="53"/>
      <c r="BH20" s="53"/>
      <c r="BI20" s="53"/>
      <c r="BJ20" s="53"/>
    </row>
    <row r="21" spans="1:68" ht="43.5" customHeight="1" thickTop="1" thickBot="1" x14ac:dyDescent="0.3">
      <c r="B21" s="15"/>
      <c r="C21" s="16" t="s">
        <v>31</v>
      </c>
      <c r="D21" s="17" t="s">
        <v>3</v>
      </c>
      <c r="E21" s="43" t="s">
        <v>4</v>
      </c>
      <c r="F21" s="44" t="s">
        <v>5</v>
      </c>
      <c r="G21" s="44" t="s">
        <v>6</v>
      </c>
      <c r="H21" s="44" t="s">
        <v>7</v>
      </c>
      <c r="I21" s="44" t="s">
        <v>16</v>
      </c>
      <c r="J21" s="44" t="s">
        <v>8</v>
      </c>
      <c r="K21" s="44" t="s">
        <v>43</v>
      </c>
      <c r="L21" s="44" t="s">
        <v>44</v>
      </c>
      <c r="M21" s="44" t="s">
        <v>10</v>
      </c>
      <c r="N21" s="44" t="s">
        <v>57</v>
      </c>
      <c r="O21" s="44" t="s">
        <v>60</v>
      </c>
      <c r="P21" s="44" t="s">
        <v>61</v>
      </c>
      <c r="Q21" s="44" t="s">
        <v>11</v>
      </c>
      <c r="R21" s="45" t="s">
        <v>11</v>
      </c>
      <c r="S21" s="33"/>
      <c r="T21" s="33"/>
      <c r="U21" s="9" t="s">
        <v>11</v>
      </c>
      <c r="V21" s="9"/>
      <c r="W21" s="9"/>
      <c r="X21" s="9" t="s">
        <v>9</v>
      </c>
      <c r="Y21" s="10" t="s">
        <v>15</v>
      </c>
      <c r="Z21" s="10" t="s">
        <v>14</v>
      </c>
      <c r="AA21" s="10" t="e">
        <v>#REF!</v>
      </c>
      <c r="AB21" s="20"/>
      <c r="AC21" s="20"/>
      <c r="AD21" s="20"/>
      <c r="AE21" s="20" t="s">
        <v>32</v>
      </c>
      <c r="AF21" s="20" t="s">
        <v>33</v>
      </c>
      <c r="AG21" s="20" t="s">
        <v>35</v>
      </c>
      <c r="AH21" s="20" t="s">
        <v>34</v>
      </c>
      <c r="AI21" s="20" t="s">
        <v>36</v>
      </c>
      <c r="AJ21" s="20" t="s">
        <v>37</v>
      </c>
      <c r="AK21" s="20" t="s">
        <v>38</v>
      </c>
      <c r="AL21" s="20" t="s">
        <v>39</v>
      </c>
      <c r="AM21" s="20"/>
      <c r="AN21" s="20"/>
      <c r="AO21" s="20"/>
      <c r="AP21" s="20"/>
      <c r="AQ21" s="20"/>
      <c r="AR21" s="20"/>
      <c r="AS21" s="20"/>
      <c r="AT21" s="4"/>
      <c r="AU21" s="4"/>
      <c r="AV21" s="4"/>
      <c r="AW21" s="4"/>
      <c r="AX21" s="4"/>
      <c r="AY21" s="4"/>
      <c r="AZ21" s="53" t="s">
        <v>21</v>
      </c>
      <c r="BA21" s="53" t="s">
        <v>45</v>
      </c>
      <c r="BB21" s="54" t="s">
        <v>46</v>
      </c>
      <c r="BC21" s="54" t="s">
        <v>47</v>
      </c>
      <c r="BD21" s="54" t="s">
        <v>48</v>
      </c>
      <c r="BE21" s="54" t="s">
        <v>49</v>
      </c>
      <c r="BF21" s="54" t="s">
        <v>50</v>
      </c>
      <c r="BG21" s="54" t="s">
        <v>51</v>
      </c>
      <c r="BH21" s="54" t="s">
        <v>52</v>
      </c>
      <c r="BI21" s="54" t="s">
        <v>53</v>
      </c>
      <c r="BJ21" s="54" t="s">
        <v>54</v>
      </c>
      <c r="BK21" s="20"/>
      <c r="BL21" s="20"/>
      <c r="BM21" s="20"/>
      <c r="BN21" s="20"/>
      <c r="BO21" s="20"/>
      <c r="BP21" s="20"/>
    </row>
    <row r="22" spans="1:68" s="23" customFormat="1" ht="46.5" customHeight="1" thickTop="1" x14ac:dyDescent="0.25">
      <c r="B22" s="34"/>
      <c r="C22" s="35">
        <v>408603352</v>
      </c>
      <c r="D22" s="36" t="str">
        <f>"""CallButtonSMI"","""",""Events"",""Event_Id"",""408603352"""</f>
        <v>"CallButtonSMI","","Events","Event_Id","408603352"</v>
      </c>
      <c r="E22" s="48">
        <v>45432.702905092592</v>
      </c>
      <c r="F22" s="49">
        <v>45432.744571762589</v>
      </c>
      <c r="G22" s="50">
        <v>10.183333333333334</v>
      </c>
      <c r="H22" s="51" t="s">
        <v>1316</v>
      </c>
      <c r="I22" s="51" t="s">
        <v>1317</v>
      </c>
      <c r="J22" s="51" t="str">
        <f>IF($C22="","",IF(AO22="",AN22,AN22&amp;" "&amp;AO22))</f>
        <v>321-412-8627</v>
      </c>
      <c r="K22" s="51" t="s">
        <v>1318</v>
      </c>
      <c r="L22" s="51" t="s">
        <v>1319</v>
      </c>
      <c r="M22" s="51" t="s">
        <v>1320</v>
      </c>
      <c r="N22" s="65" t="str">
        <f>BF23</f>
        <v xml:space="preserve"> NISSAN plug in hybrid</v>
      </c>
      <c r="O22" s="65" t="str">
        <f>BE23</f>
        <v/>
      </c>
      <c r="P22" s="65" t="str">
        <f>BB23</f>
        <v>Open Alert: Used Sales Opportunity</v>
      </c>
      <c r="Q22" s="51"/>
      <c r="R22" s="46" t="str">
        <f>IF($C22="","",IF($Y22="","",HYPERLINK($Y22,"(")))</f>
        <v>(</v>
      </c>
      <c r="S22" s="33"/>
      <c r="T22" s="37"/>
      <c r="U22" s="33"/>
      <c r="V22" s="11"/>
      <c r="W22" s="11"/>
      <c r="X22" s="12"/>
      <c r="Y22" s="13" t="str">
        <f>IF($Z22="","",IF(LEFT($Z22,4)="http",$Z22,"http://"&amp;$Z22))</f>
        <v>http://prodcommsstorage.blob.core.windows.net/2024/0520/RE84a264dfd8d7627964409b23d47c1c6d.mp3</v>
      </c>
      <c r="Z22" s="23" t="str">
        <f>"prodcommsstorage.blob.core.windows.net/2024/0520/RE84a264dfd8d7627964409b23d47c1c6d.mp3"</f>
        <v>prodcommsstorage.blob.core.windows.net/2024/0520/RE84a264dfd8d7627964409b23d47c1c6d.mp3</v>
      </c>
      <c r="AC22" s="23" t="s">
        <v>1291</v>
      </c>
      <c r="AD22" s="23">
        <f>IF(AC22="ET",0.04166667,IF(AC22="MT",-0.04166667,IF(AC22="PT",-0.08333333,0)))</f>
        <v>4.1666670000000003E-2</v>
      </c>
      <c r="AE22" s="27"/>
      <c r="AF22" s="27"/>
      <c r="AG22" s="27"/>
      <c r="AH22" s="28"/>
      <c r="AI22" s="28"/>
      <c r="AJ22" s="28"/>
      <c r="AK22" s="28"/>
      <c r="AL22" s="27"/>
      <c r="AM22" s="19"/>
      <c r="AN22" s="18" t="str">
        <f>"321-412-8627"</f>
        <v>321-412-8627</v>
      </c>
      <c r="AO22" s="18"/>
      <c r="AP22" s="33">
        <v>1</v>
      </c>
      <c r="AQ22" s="18" t="str">
        <f>"DAVID WATSON"</f>
        <v>DAVID WATSON</v>
      </c>
      <c r="AR22" s="23">
        <f>C22</f>
        <v>408603352</v>
      </c>
      <c r="AT22" s="14"/>
      <c r="AU22" s="14"/>
      <c r="AV22" s="14"/>
      <c r="AW22" s="14"/>
      <c r="AX22" s="14"/>
      <c r="AY22" s="14"/>
      <c r="AZ22" s="58" t="str">
        <f>"DAVID WATSON"</f>
        <v>DAVID WATSON</v>
      </c>
      <c r="BA22" s="58">
        <v>12</v>
      </c>
      <c r="BB22" s="58">
        <v>1</v>
      </c>
      <c r="BC22" s="58" t="s">
        <v>1384</v>
      </c>
      <c r="BD22" s="58"/>
      <c r="BE22" s="59"/>
      <c r="BF22" s="59" t="str">
        <f>" NISSAN plug in hybrid"</f>
        <v xml:space="preserve"> NISSAN plug in hybrid</v>
      </c>
      <c r="BG22" s="59" t="s">
        <v>1289</v>
      </c>
      <c r="BH22" s="58"/>
      <c r="BI22" s="59" t="s">
        <v>1289</v>
      </c>
      <c r="BJ22" s="58"/>
    </row>
    <row r="23" spans="1:68" s="23" customFormat="1" ht="72.75" customHeight="1" thickBot="1" x14ac:dyDescent="0.3">
      <c r="B23" s="34"/>
      <c r="C23" s="35"/>
      <c r="D23" s="36" t="str">
        <f>D22</f>
        <v>"CallButtonSMI","","Events","Event_Id","408603352"</v>
      </c>
      <c r="E23" s="89" t="s">
        <v>1321</v>
      </c>
      <c r="F23" s="90"/>
      <c r="G23" s="90"/>
      <c r="H23" s="90"/>
      <c r="I23" s="90"/>
      <c r="J23" s="90"/>
      <c r="K23" s="90"/>
      <c r="L23" s="90"/>
      <c r="M23" s="90"/>
      <c r="N23" s="90"/>
      <c r="O23" s="90"/>
      <c r="P23" s="90"/>
      <c r="Q23" s="91"/>
      <c r="R23" s="62" t="s">
        <v>55</v>
      </c>
      <c r="S23" s="29"/>
      <c r="U23" s="42"/>
      <c r="V23" s="11"/>
      <c r="W23" s="11"/>
      <c r="X23" s="12"/>
      <c r="Y23" s="13"/>
      <c r="AE23" s="29"/>
      <c r="AF23" s="29" t="s">
        <v>1292</v>
      </c>
      <c r="AG23" s="29"/>
      <c r="AH23" s="29"/>
      <c r="AI23" s="29"/>
      <c r="AJ23" s="29"/>
      <c r="AK23" s="29"/>
      <c r="AL23" s="29"/>
      <c r="AM23" s="38" t="str">
        <f>IF(AM22="","","  [Dealer Response: "&amp;AM22&amp;"] ")</f>
        <v/>
      </c>
      <c r="AN23" s="33"/>
      <c r="AO23" s="33"/>
      <c r="AQ23" s="23" t="str">
        <f>IF(AQ22="","","  [Reverse Lookup Name: "&amp;AQ22&amp;"] ")</f>
        <v xml:space="preserve">  [Reverse Lookup Name: DAVID WATSON] </v>
      </c>
      <c r="AR23" s="23" t="str">
        <f>""&amp;AR22</f>
        <v>408603352</v>
      </c>
      <c r="AT23" s="14"/>
      <c r="AU23" s="14"/>
      <c r="AV23" s="14"/>
      <c r="AW23" s="14"/>
      <c r="AX23" s="14"/>
      <c r="AY23" s="14"/>
      <c r="AZ23" s="55" t="str">
        <f>BB23&amp;BE23&amp;"  "&amp;BG23&amp;"  "&amp;BI23</f>
        <v xml:space="preserve">Open Alert: Used Sales Opportunity    </v>
      </c>
      <c r="BA23" s="54"/>
      <c r="BB23" s="56" t="str">
        <f>IF(BD22=1,"Closed Alert: "&amp;BC22,IF(BC22="","", "Open Alert: "&amp;BC22))</f>
        <v>Open Alert: Used Sales Opportunity</v>
      </c>
      <c r="BC23" s="54"/>
      <c r="BD23" s="54"/>
      <c r="BE23" s="56" t="str">
        <f>IF(BE22="","",BE22)</f>
        <v/>
      </c>
      <c r="BF23" s="56" t="str">
        <f>IF(BF22="","",BF22)</f>
        <v xml:space="preserve"> NISSAN plug in hybrid</v>
      </c>
      <c r="BG23" s="56" t="str">
        <f>IF(BH22="","","  ["&amp;BG22&amp;": "&amp;BH22&amp;"]")</f>
        <v/>
      </c>
      <c r="BH23" s="54"/>
      <c r="BI23" s="56" t="str">
        <f>IF(BJ22="","","  ["&amp;BI22&amp;": "&amp;BJ22&amp;"]")</f>
        <v/>
      </c>
      <c r="BJ23" s="54"/>
    </row>
    <row r="24" spans="1:68" s="23" customFormat="1" ht="46.5" customHeight="1" thickTop="1" x14ac:dyDescent="0.25">
      <c r="A24" s="23" t="s">
        <v>257</v>
      </c>
      <c r="B24" s="34"/>
      <c r="C24" s="35">
        <v>409322137</v>
      </c>
      <c r="D24" s="36" t="str">
        <f>"""CallButtonSMI"","""",""Events"",""Event_Id"",""409322137"""</f>
        <v>"CallButtonSMI","","Events","Event_Id","409322137"</v>
      </c>
      <c r="E24" s="48">
        <v>45435.429236111115</v>
      </c>
      <c r="F24" s="49">
        <v>45435.470902781111</v>
      </c>
      <c r="G24" s="50">
        <v>2.5</v>
      </c>
      <c r="H24" s="51" t="s">
        <v>1316</v>
      </c>
      <c r="I24" s="51" t="s">
        <v>1322</v>
      </c>
      <c r="J24" s="51" t="str">
        <f t="shared" ref="J24:J69" si="0">IF($C24="","",IF(AO24="",AN24,AN24&amp;" "&amp;AO24))</f>
        <v>803-480-5144</v>
      </c>
      <c r="K24" s="51" t="s">
        <v>1323</v>
      </c>
      <c r="L24" s="51" t="s">
        <v>1324</v>
      </c>
      <c r="M24" s="51" t="s">
        <v>1325</v>
      </c>
      <c r="N24" s="65" t="str">
        <f t="shared" ref="N24:N69" si="1">BF25</f>
        <v xml:space="preserve"> KIA Sorento</v>
      </c>
      <c r="O24" s="65" t="str">
        <f t="shared" ref="O24:O69" si="2">BE25</f>
        <v/>
      </c>
      <c r="P24" s="65" t="str">
        <f t="shared" ref="P24:P69" si="3">BB25</f>
        <v>Open Alert: New Sales Opportunity</v>
      </c>
      <c r="Q24" s="51"/>
      <c r="R24" s="46" t="str">
        <f t="shared" ref="R24:R69" si="4">IF($C24="","",IF($Y24="","",HYPERLINK($Y24,"(")))</f>
        <v>(</v>
      </c>
      <c r="S24" s="33"/>
      <c r="T24" s="37"/>
      <c r="U24" s="33"/>
      <c r="V24" s="11"/>
      <c r="W24" s="11"/>
      <c r="X24" s="12"/>
      <c r="Y24" s="13" t="str">
        <f t="shared" ref="Y24:Y69" si="5">IF($Z24="","",IF(LEFT($Z24,4)="http",$Z24,"http://"&amp;$Z24))</f>
        <v>http://prodcommsstorage.blob.core.windows.net/2024/0523/RE71f15269ec8462d17453d7ac5ec1755a.mp3</v>
      </c>
      <c r="Z24" s="23" t="str">
        <f>"prodcommsstorage.blob.core.windows.net/2024/0523/RE71f15269ec8462d17453d7ac5ec1755a.mp3"</f>
        <v>prodcommsstorage.blob.core.windows.net/2024/0523/RE71f15269ec8462d17453d7ac5ec1755a.mp3</v>
      </c>
      <c r="AC24" s="23" t="s">
        <v>1291</v>
      </c>
      <c r="AD24" s="23">
        <f t="shared" ref="AD24" si="6">IF(AC24="ET",0.04166667,IF(AC24="MT",-0.04166667,IF(AC24="PT",-0.08333333,0)))</f>
        <v>4.1666670000000003E-2</v>
      </c>
      <c r="AE24" s="27"/>
      <c r="AF24" s="27"/>
      <c r="AG24" s="27"/>
      <c r="AH24" s="28"/>
      <c r="AI24" s="28"/>
      <c r="AJ24" s="28"/>
      <c r="AK24" s="28"/>
      <c r="AL24" s="27"/>
      <c r="AM24" s="19"/>
      <c r="AN24" s="18" t="str">
        <f>"803-480-5144"</f>
        <v>803-480-5144</v>
      </c>
      <c r="AO24" s="18"/>
      <c r="AP24" s="33">
        <v>1</v>
      </c>
      <c r="AQ24" s="18" t="str">
        <f>"SC CALLER"</f>
        <v>SC CALLER</v>
      </c>
      <c r="AR24" s="23">
        <f t="shared" ref="AR24:AR69" si="7">C24</f>
        <v>409322137</v>
      </c>
      <c r="AT24" s="14"/>
      <c r="AU24" s="14"/>
      <c r="AV24" s="14"/>
      <c r="AW24" s="14"/>
      <c r="AX24" s="14"/>
      <c r="AY24" s="14"/>
      <c r="AZ24" s="58" t="str">
        <f>"SC CALLER"</f>
        <v>SC CALLER</v>
      </c>
      <c r="BA24" s="58">
        <v>11</v>
      </c>
      <c r="BB24" s="58">
        <v>1</v>
      </c>
      <c r="BC24" s="58" t="s">
        <v>1385</v>
      </c>
      <c r="BD24" s="58"/>
      <c r="BE24" s="59"/>
      <c r="BF24" s="59" t="str">
        <f>" KIA Sorento"</f>
        <v xml:space="preserve"> KIA Sorento</v>
      </c>
      <c r="BG24" s="59" t="s">
        <v>1289</v>
      </c>
      <c r="BH24" s="58"/>
      <c r="BI24" s="59" t="s">
        <v>1289</v>
      </c>
      <c r="BJ24" s="58"/>
    </row>
    <row r="25" spans="1:68" s="23" customFormat="1" ht="72.75" customHeight="1" thickBot="1" x14ac:dyDescent="0.3">
      <c r="A25" s="23" t="s">
        <v>257</v>
      </c>
      <c r="B25" s="34"/>
      <c r="C25" s="35"/>
      <c r="D25" s="36" t="str">
        <f>D24</f>
        <v>"CallButtonSMI","","Events","Event_Id","409322137"</v>
      </c>
      <c r="E25" s="89" t="s">
        <v>1326</v>
      </c>
      <c r="F25" s="90"/>
      <c r="G25" s="90"/>
      <c r="H25" s="90"/>
      <c r="I25" s="90"/>
      <c r="J25" s="90"/>
      <c r="K25" s="90"/>
      <c r="L25" s="90"/>
      <c r="M25" s="90"/>
      <c r="N25" s="90"/>
      <c r="O25" s="90"/>
      <c r="P25" s="90"/>
      <c r="Q25" s="91"/>
      <c r="R25" s="62" t="s">
        <v>55</v>
      </c>
      <c r="S25" s="29"/>
      <c r="U25" s="42"/>
      <c r="V25" s="11"/>
      <c r="W25" s="11"/>
      <c r="X25" s="12"/>
      <c r="Y25" s="13"/>
      <c r="AE25" s="29"/>
      <c r="AF25" s="29" t="s">
        <v>1293</v>
      </c>
      <c r="AG25" s="29"/>
      <c r="AH25" s="29"/>
      <c r="AI25" s="29"/>
      <c r="AJ25" s="29"/>
      <c r="AK25" s="29"/>
      <c r="AL25" s="29"/>
      <c r="AM25" s="38" t="str">
        <f t="shared" ref="AM25:AM69" si="8">IF(AM24="","","  [Dealer Response: "&amp;AM24&amp;"] ")</f>
        <v/>
      </c>
      <c r="AN25" s="33"/>
      <c r="AO25" s="33"/>
      <c r="AQ25" s="23" t="str">
        <f>IF(AQ24="","","  [Reverse Lookup Name: "&amp;AQ24&amp;"] ")</f>
        <v xml:space="preserve">  [Reverse Lookup Name: SC CALLER] </v>
      </c>
      <c r="AR25" s="23" t="str">
        <f t="shared" ref="AR25:AR69" si="9">""&amp;AR24</f>
        <v>409322137</v>
      </c>
      <c r="AT25" s="14"/>
      <c r="AU25" s="14"/>
      <c r="AV25" s="14"/>
      <c r="AW25" s="14"/>
      <c r="AX25" s="14"/>
      <c r="AY25" s="14"/>
      <c r="AZ25" s="55" t="str">
        <f>BB25&amp;BE25&amp;"  "&amp;BG25&amp;"  "&amp;BI25</f>
        <v xml:space="preserve">Open Alert: New Sales Opportunity    </v>
      </c>
      <c r="BA25" s="54"/>
      <c r="BB25" s="56" t="str">
        <f>IF(BD24=1,"Closed Alert: "&amp;BC24,IF(BC24="","", "Open Alert: "&amp;BC24))</f>
        <v>Open Alert: New Sales Opportunity</v>
      </c>
      <c r="BC25" s="54"/>
      <c r="BD25" s="54"/>
      <c r="BE25" s="56" t="str">
        <f>IF(BE24="","",BE24)</f>
        <v/>
      </c>
      <c r="BF25" s="56" t="str">
        <f>IF(BF24="","",BF24)</f>
        <v xml:space="preserve"> KIA Sorento</v>
      </c>
      <c r="BG25" s="56" t="str">
        <f t="shared" ref="BG25:BG69" si="10">IF(BH24="","","  ["&amp;BG24&amp;": "&amp;BH24&amp;"]")</f>
        <v/>
      </c>
      <c r="BH25" s="54"/>
      <c r="BI25" s="56" t="str">
        <f t="shared" ref="BI25:BI69" si="11">IF(BJ24="","","  ["&amp;BI24&amp;": "&amp;BJ24&amp;"]")</f>
        <v/>
      </c>
      <c r="BJ25" s="54"/>
    </row>
    <row r="26" spans="1:68" s="23" customFormat="1" ht="46.5" customHeight="1" thickTop="1" x14ac:dyDescent="0.25">
      <c r="A26" s="23" t="s">
        <v>257</v>
      </c>
      <c r="B26" s="34"/>
      <c r="C26" s="35">
        <v>408073494</v>
      </c>
      <c r="D26" s="36" t="str">
        <f>"""CallButtonSMI"","""",""Events"",""Event_Id"",""408073494"""</f>
        <v>"CallButtonSMI","","Events","Event_Id","408073494"</v>
      </c>
      <c r="E26" s="48">
        <v>45429.696423611109</v>
      </c>
      <c r="F26" s="49">
        <v>45429.738090281106</v>
      </c>
      <c r="G26" s="50">
        <v>4.05</v>
      </c>
      <c r="H26" s="51" t="s">
        <v>1327</v>
      </c>
      <c r="I26" s="51" t="s">
        <v>1328</v>
      </c>
      <c r="J26" s="51" t="str">
        <f t="shared" ref="J26:J69" si="12">IF($C26="","",IF(AO26="",AN26,AN26&amp;" "&amp;AO26))</f>
        <v>828-447-1528</v>
      </c>
      <c r="K26" s="51" t="s">
        <v>1324</v>
      </c>
      <c r="L26" s="51" t="s">
        <v>1324</v>
      </c>
      <c r="M26" s="51" t="s">
        <v>1320</v>
      </c>
      <c r="N26" s="65" t="str">
        <f t="shared" ref="N26:N69" si="13">BF27</f>
        <v xml:space="preserve"> NISSAN Titan</v>
      </c>
      <c r="O26" s="65" t="str">
        <f t="shared" ref="O26:O69" si="14">BE27</f>
        <v/>
      </c>
      <c r="P26" s="65" t="str">
        <f t="shared" ref="P26:P69" si="15">BB27</f>
        <v>Open Alert: Used Sales Opportunity</v>
      </c>
      <c r="Q26" s="51"/>
      <c r="R26" s="46" t="str">
        <f t="shared" ref="R26:R69" si="16">IF($C26="","",IF($Y26="","",HYPERLINK($Y26,"(")))</f>
        <v>(</v>
      </c>
      <c r="S26" s="33"/>
      <c r="T26" s="37"/>
      <c r="U26" s="33"/>
      <c r="V26" s="11"/>
      <c r="W26" s="11"/>
      <c r="X26" s="12"/>
      <c r="Y26" s="13" t="str">
        <f t="shared" ref="Y26:Y69" si="17">IF($Z26="","",IF(LEFT($Z26,4)="http",$Z26,"http://"&amp;$Z26))</f>
        <v>http://prodcommsstorage.blob.core.windows.net/2024/0517/RE24776ca7a9f4d7270d927c1a655ffa61.mp3</v>
      </c>
      <c r="Z26" s="23" t="str">
        <f>"prodcommsstorage.blob.core.windows.net/2024/0517/RE24776ca7a9f4d7270d927c1a655ffa61.mp3"</f>
        <v>prodcommsstorage.blob.core.windows.net/2024/0517/RE24776ca7a9f4d7270d927c1a655ffa61.mp3</v>
      </c>
      <c r="AC26" s="23" t="s">
        <v>1291</v>
      </c>
      <c r="AD26" s="23">
        <f t="shared" ref="AD26" si="18">IF(AC26="ET",0.04166667,IF(AC26="MT",-0.04166667,IF(AC26="PT",-0.08333333,0)))</f>
        <v>4.1666670000000003E-2</v>
      </c>
      <c r="AE26" s="27"/>
      <c r="AF26" s="27"/>
      <c r="AG26" s="27"/>
      <c r="AH26" s="28"/>
      <c r="AI26" s="28"/>
      <c r="AJ26" s="28"/>
      <c r="AK26" s="28"/>
      <c r="AL26" s="27"/>
      <c r="AM26" s="19"/>
      <c r="AN26" s="18" t="str">
        <f>"828-447-1528"</f>
        <v>828-447-1528</v>
      </c>
      <c r="AO26" s="18"/>
      <c r="AP26" s="33">
        <v>1</v>
      </c>
      <c r="AQ26" s="18" t="str">
        <f>"NC CALLER"</f>
        <v>NC CALLER</v>
      </c>
      <c r="AR26" s="23">
        <f t="shared" ref="AR26:AR69" si="19">C26</f>
        <v>408073494</v>
      </c>
      <c r="AT26" s="14"/>
      <c r="AU26" s="14"/>
      <c r="AV26" s="14"/>
      <c r="AW26" s="14"/>
      <c r="AX26" s="14"/>
      <c r="AY26" s="14"/>
      <c r="AZ26" s="58" t="str">
        <f>"NC CALLER"</f>
        <v>NC CALLER</v>
      </c>
      <c r="BA26" s="58">
        <v>12</v>
      </c>
      <c r="BB26" s="58">
        <v>1</v>
      </c>
      <c r="BC26" s="58" t="s">
        <v>1384</v>
      </c>
      <c r="BD26" s="58"/>
      <c r="BE26" s="59"/>
      <c r="BF26" s="59" t="str">
        <f>" NISSAN Titan"</f>
        <v xml:space="preserve"> NISSAN Titan</v>
      </c>
      <c r="BG26" s="59" t="s">
        <v>1289</v>
      </c>
      <c r="BH26" s="58"/>
      <c r="BI26" s="59" t="s">
        <v>1289</v>
      </c>
      <c r="BJ26" s="58"/>
    </row>
    <row r="27" spans="1:68" s="23" customFormat="1" ht="72.75" customHeight="1" thickBot="1" x14ac:dyDescent="0.3">
      <c r="A27" s="23" t="s">
        <v>257</v>
      </c>
      <c r="B27" s="34"/>
      <c r="C27" s="35"/>
      <c r="D27" s="36" t="str">
        <f>D26</f>
        <v>"CallButtonSMI","","Events","Event_Id","408073494"</v>
      </c>
      <c r="E27" s="89" t="s">
        <v>1329</v>
      </c>
      <c r="F27" s="90"/>
      <c r="G27" s="90"/>
      <c r="H27" s="90"/>
      <c r="I27" s="90"/>
      <c r="J27" s="90"/>
      <c r="K27" s="90"/>
      <c r="L27" s="90"/>
      <c r="M27" s="90"/>
      <c r="N27" s="90"/>
      <c r="O27" s="90"/>
      <c r="P27" s="90"/>
      <c r="Q27" s="91"/>
      <c r="R27" s="62" t="s">
        <v>55</v>
      </c>
      <c r="S27" s="29"/>
      <c r="U27" s="42"/>
      <c r="V27" s="11"/>
      <c r="W27" s="11"/>
      <c r="X27" s="12"/>
      <c r="Y27" s="13"/>
      <c r="AE27" s="29"/>
      <c r="AF27" s="29" t="s">
        <v>1294</v>
      </c>
      <c r="AG27" s="29"/>
      <c r="AH27" s="29"/>
      <c r="AI27" s="29"/>
      <c r="AJ27" s="29"/>
      <c r="AK27" s="29"/>
      <c r="AL27" s="29"/>
      <c r="AM27" s="38" t="str">
        <f t="shared" ref="AM27:AM69" si="20">IF(AM26="","","  [Dealer Response: "&amp;AM26&amp;"] ")</f>
        <v/>
      </c>
      <c r="AN27" s="33"/>
      <c r="AO27" s="33"/>
      <c r="AQ27" s="23" t="str">
        <f>IF(AQ26="","","  [Reverse Lookup Name: "&amp;AQ26&amp;"] ")</f>
        <v xml:space="preserve">  [Reverse Lookup Name: NC CALLER] </v>
      </c>
      <c r="AR27" s="23" t="str">
        <f t="shared" ref="AR27:AR69" si="21">""&amp;AR26</f>
        <v>408073494</v>
      </c>
      <c r="AT27" s="14"/>
      <c r="AU27" s="14"/>
      <c r="AV27" s="14"/>
      <c r="AW27" s="14"/>
      <c r="AX27" s="14"/>
      <c r="AY27" s="14"/>
      <c r="AZ27" s="55" t="str">
        <f>BB27&amp;BE27&amp;"  "&amp;BG27&amp;"  "&amp;BI27</f>
        <v xml:space="preserve">Open Alert: Used Sales Opportunity    </v>
      </c>
      <c r="BA27" s="54"/>
      <c r="BB27" s="56" t="str">
        <f>IF(BD26=1,"Closed Alert: "&amp;BC26,IF(BC26="","", "Open Alert: "&amp;BC26))</f>
        <v>Open Alert: Used Sales Opportunity</v>
      </c>
      <c r="BC27" s="54"/>
      <c r="BD27" s="54"/>
      <c r="BE27" s="56" t="str">
        <f>IF(BE26="","",BE26)</f>
        <v/>
      </c>
      <c r="BF27" s="56" t="str">
        <f>IF(BF26="","",BF26)</f>
        <v xml:space="preserve"> NISSAN Titan</v>
      </c>
      <c r="BG27" s="56" t="str">
        <f t="shared" ref="BG27:BG69" si="22">IF(BH26="","","  ["&amp;BG26&amp;": "&amp;BH26&amp;"]")</f>
        <v/>
      </c>
      <c r="BH27" s="54"/>
      <c r="BI27" s="56" t="str">
        <f t="shared" ref="BI27:BI69" si="23">IF(BJ26="","","  ["&amp;BI26&amp;": "&amp;BJ26&amp;"]")</f>
        <v/>
      </c>
      <c r="BJ27" s="54"/>
    </row>
    <row r="28" spans="1:68" s="23" customFormat="1" ht="46.5" customHeight="1" thickTop="1" x14ac:dyDescent="0.25">
      <c r="A28" s="23" t="s">
        <v>257</v>
      </c>
      <c r="B28" s="34"/>
      <c r="C28" s="35">
        <v>406277609</v>
      </c>
      <c r="D28" s="36" t="str">
        <f>"""CallButtonSMI"","""",""Events"",""Event_Id"",""406277609"""</f>
        <v>"CallButtonSMI","","Events","Event_Id","406277609"</v>
      </c>
      <c r="E28" s="48">
        <v>45422.454062500001</v>
      </c>
      <c r="F28" s="49">
        <v>45422.495729169998</v>
      </c>
      <c r="G28" s="50">
        <v>2.4500000000000002</v>
      </c>
      <c r="H28" s="51" t="s">
        <v>1330</v>
      </c>
      <c r="I28" s="51" t="s">
        <v>1331</v>
      </c>
      <c r="J28" s="51" t="str">
        <f t="shared" ref="J28:J69" si="24">IF($C28="","",IF(AO28="",AN28,AN28&amp;" "&amp;AO28))</f>
        <v>864-921-5962 864-921-5962</v>
      </c>
      <c r="K28" s="51" t="s">
        <v>1323</v>
      </c>
      <c r="L28" s="51" t="s">
        <v>1332</v>
      </c>
      <c r="M28" s="51" t="s">
        <v>1320</v>
      </c>
      <c r="N28" s="65" t="str">
        <f t="shared" ref="N28:N69" si="25">BF29</f>
        <v>black 2014 NISSAN Altima</v>
      </c>
      <c r="O28" s="65" t="str">
        <f t="shared" ref="O28:O69" si="26">BE29</f>
        <v/>
      </c>
      <c r="P28" s="65" t="str">
        <f t="shared" ref="P28:P69" si="27">BB29</f>
        <v>Open Alert: Used Sales Opportunity</v>
      </c>
      <c r="Q28" s="51"/>
      <c r="R28" s="46" t="str">
        <f t="shared" ref="R28:R69" si="28">IF($C28="","",IF($Y28="","",HYPERLINK($Y28,"(")))</f>
        <v>(</v>
      </c>
      <c r="S28" s="33"/>
      <c r="T28" s="37"/>
      <c r="U28" s="33"/>
      <c r="V28" s="11"/>
      <c r="W28" s="11"/>
      <c r="X28" s="12"/>
      <c r="Y28" s="13" t="str">
        <f t="shared" ref="Y28:Y69" si="29">IF($Z28="","",IF(LEFT($Z28,4)="http",$Z28,"http://"&amp;$Z28))</f>
        <v>http://prodcommsstorage.blob.core.windows.net/2024/0510/REc49bbf3c29174a7844cede001bd1d787.mp3</v>
      </c>
      <c r="Z28" s="23" t="str">
        <f>"prodcommsstorage.blob.core.windows.net/2024/0510/REc49bbf3c29174a7844cede001bd1d787.mp3"</f>
        <v>prodcommsstorage.blob.core.windows.net/2024/0510/REc49bbf3c29174a7844cede001bd1d787.mp3</v>
      </c>
      <c r="AC28" s="23" t="s">
        <v>1291</v>
      </c>
      <c r="AD28" s="23">
        <f t="shared" ref="AD28" si="30">IF(AC28="ET",0.04166667,IF(AC28="MT",-0.04166667,IF(AC28="PT",-0.08333333,0)))</f>
        <v>4.1666670000000003E-2</v>
      </c>
      <c r="AE28" s="27"/>
      <c r="AF28" s="27"/>
      <c r="AG28" s="27"/>
      <c r="AH28" s="28"/>
      <c r="AI28" s="28"/>
      <c r="AJ28" s="28"/>
      <c r="AK28" s="28"/>
      <c r="AL28" s="27"/>
      <c r="AM28" s="19"/>
      <c r="AN28" s="18" t="str">
        <f>"864-921-5962"</f>
        <v>864-921-5962</v>
      </c>
      <c r="AO28" s="18" t="str">
        <f>"864-921-5962"</f>
        <v>864-921-5962</v>
      </c>
      <c r="AP28" s="33">
        <v>1</v>
      </c>
      <c r="AQ28" s="18" t="str">
        <f>"THOMAS MILLER"</f>
        <v>THOMAS MILLER</v>
      </c>
      <c r="AR28" s="23">
        <f t="shared" ref="AR28:AR69" si="31">C28</f>
        <v>406277609</v>
      </c>
      <c r="AT28" s="14"/>
      <c r="AU28" s="14"/>
      <c r="AV28" s="14"/>
      <c r="AW28" s="14"/>
      <c r="AX28" s="14"/>
      <c r="AY28" s="14"/>
      <c r="AZ28" s="58" t="str">
        <f>"THOMAS MILLER"</f>
        <v>THOMAS MILLER</v>
      </c>
      <c r="BA28" s="58">
        <v>12</v>
      </c>
      <c r="BB28" s="58">
        <v>1</v>
      </c>
      <c r="BC28" s="58" t="s">
        <v>1384</v>
      </c>
      <c r="BD28" s="58"/>
      <c r="BE28" s="59"/>
      <c r="BF28" s="59" t="str">
        <f>"black 2014 NISSAN Altima"</f>
        <v>black 2014 NISSAN Altima</v>
      </c>
      <c r="BG28" s="59" t="s">
        <v>1289</v>
      </c>
      <c r="BH28" s="58"/>
      <c r="BI28" s="59" t="s">
        <v>1289</v>
      </c>
      <c r="BJ28" s="58"/>
    </row>
    <row r="29" spans="1:68" s="23" customFormat="1" ht="72.75" customHeight="1" thickBot="1" x14ac:dyDescent="0.3">
      <c r="A29" s="23" t="s">
        <v>257</v>
      </c>
      <c r="B29" s="34"/>
      <c r="C29" s="35"/>
      <c r="D29" s="36" t="str">
        <f>D28</f>
        <v>"CallButtonSMI","","Events","Event_Id","406277609"</v>
      </c>
      <c r="E29" s="89" t="s">
        <v>1333</v>
      </c>
      <c r="F29" s="90"/>
      <c r="G29" s="90"/>
      <c r="H29" s="90"/>
      <c r="I29" s="90"/>
      <c r="J29" s="90"/>
      <c r="K29" s="90"/>
      <c r="L29" s="90"/>
      <c r="M29" s="90"/>
      <c r="N29" s="90"/>
      <c r="O29" s="90"/>
      <c r="P29" s="90"/>
      <c r="Q29" s="91"/>
      <c r="R29" s="62" t="s">
        <v>55</v>
      </c>
      <c r="S29" s="29"/>
      <c r="U29" s="42"/>
      <c r="V29" s="11"/>
      <c r="W29" s="11"/>
      <c r="X29" s="12"/>
      <c r="Y29" s="13"/>
      <c r="AE29" s="29"/>
      <c r="AF29" s="29" t="s">
        <v>1295</v>
      </c>
      <c r="AG29" s="29"/>
      <c r="AH29" s="29"/>
      <c r="AI29" s="29"/>
      <c r="AJ29" s="29"/>
      <c r="AK29" s="29"/>
      <c r="AL29" s="29"/>
      <c r="AM29" s="38" t="str">
        <f t="shared" ref="AM29:AM69" si="32">IF(AM28="","","  [Dealer Response: "&amp;AM28&amp;"] ")</f>
        <v/>
      </c>
      <c r="AN29" s="33"/>
      <c r="AO29" s="33"/>
      <c r="AQ29" s="23" t="str">
        <f>IF(AQ28="","","  [Reverse Lookup Name: "&amp;AQ28&amp;"] ")</f>
        <v xml:space="preserve">  [Reverse Lookup Name: THOMAS MILLER] </v>
      </c>
      <c r="AR29" s="23" t="str">
        <f t="shared" ref="AR29:AR69" si="33">""&amp;AR28</f>
        <v>406277609</v>
      </c>
      <c r="AT29" s="14"/>
      <c r="AU29" s="14"/>
      <c r="AV29" s="14"/>
      <c r="AW29" s="14"/>
      <c r="AX29" s="14"/>
      <c r="AY29" s="14"/>
      <c r="AZ29" s="55" t="str">
        <f>BB29&amp;BE29&amp;"  "&amp;BG29&amp;"  "&amp;BI29</f>
        <v xml:space="preserve">Open Alert: Used Sales Opportunity    </v>
      </c>
      <c r="BA29" s="54"/>
      <c r="BB29" s="56" t="str">
        <f>IF(BD28=1,"Closed Alert: "&amp;BC28,IF(BC28="","", "Open Alert: "&amp;BC28))</f>
        <v>Open Alert: Used Sales Opportunity</v>
      </c>
      <c r="BC29" s="54"/>
      <c r="BD29" s="54"/>
      <c r="BE29" s="56" t="str">
        <f>IF(BE28="","",BE28)</f>
        <v/>
      </c>
      <c r="BF29" s="56" t="str">
        <f>IF(BF28="","",BF28)</f>
        <v>black 2014 NISSAN Altima</v>
      </c>
      <c r="BG29" s="56" t="str">
        <f t="shared" ref="BG29:BG69" si="34">IF(BH28="","","  ["&amp;BG28&amp;": "&amp;BH28&amp;"]")</f>
        <v/>
      </c>
      <c r="BH29" s="54"/>
      <c r="BI29" s="56" t="str">
        <f t="shared" ref="BI29:BI69" si="35">IF(BJ28="","","  ["&amp;BI28&amp;": "&amp;BJ28&amp;"]")</f>
        <v/>
      </c>
      <c r="BJ29" s="54"/>
    </row>
    <row r="30" spans="1:68" s="23" customFormat="1" ht="46.5" customHeight="1" thickTop="1" x14ac:dyDescent="0.25">
      <c r="A30" s="23" t="s">
        <v>257</v>
      </c>
      <c r="B30" s="34"/>
      <c r="C30" s="35">
        <v>404478881</v>
      </c>
      <c r="D30" s="36" t="str">
        <f>"""CallButtonSMI"","""",""Events"",""Event_Id"",""404478881"""</f>
        <v>"CallButtonSMI","","Events","Event_Id","404478881"</v>
      </c>
      <c r="E30" s="48">
        <v>45414.614629629628</v>
      </c>
      <c r="F30" s="49">
        <v>45414.656296299625</v>
      </c>
      <c r="G30" s="50">
        <v>12.666666666666666</v>
      </c>
      <c r="H30" s="51" t="s">
        <v>1327</v>
      </c>
      <c r="I30" s="51" t="s">
        <v>1334</v>
      </c>
      <c r="J30" s="51" t="str">
        <f t="shared" ref="J30:J69" si="36">IF($C30="","",IF(AO30="",AN30,AN30&amp;" "&amp;AO30))</f>
        <v>864-426-5795</v>
      </c>
      <c r="K30" s="51" t="s">
        <v>1323</v>
      </c>
      <c r="L30" s="51" t="s">
        <v>1335</v>
      </c>
      <c r="M30" s="51" t="s">
        <v>1320</v>
      </c>
      <c r="N30" s="65" t="str">
        <f t="shared" ref="N30:N69" si="37">BF31</f>
        <v>Black 2014 NISSAN Altima  with 162k mi for $7200</v>
      </c>
      <c r="O30" s="65" t="str">
        <f t="shared" ref="O30:O69" si="38">BE31</f>
        <v xml:space="preserve"> CHEVROLET Tahoe</v>
      </c>
      <c r="P30" s="65" t="str">
        <f t="shared" ref="P30:P69" si="39">BB31</f>
        <v>Open Alert: Used Sales Opportunity</v>
      </c>
      <c r="Q30" s="51"/>
      <c r="R30" s="46" t="str">
        <f t="shared" ref="R30:R69" si="40">IF($C30="","",IF($Y30="","",HYPERLINK($Y30,"(")))</f>
        <v>(</v>
      </c>
      <c r="S30" s="33"/>
      <c r="T30" s="37"/>
      <c r="U30" s="33"/>
      <c r="V30" s="11"/>
      <c r="W30" s="11"/>
      <c r="X30" s="12"/>
      <c r="Y30" s="13" t="str">
        <f t="shared" ref="Y30:Y69" si="41">IF($Z30="","",IF(LEFT($Z30,4)="http",$Z30,"http://"&amp;$Z30))</f>
        <v>http://prodcommsstorage.blob.core.windows.net/2024/0502/RE229d41af4ed78987da31b00e0ad10434.mp3</v>
      </c>
      <c r="Z30" s="23" t="str">
        <f>"prodcommsstorage.blob.core.windows.net/2024/0502/RE229d41af4ed78987da31b00e0ad10434.mp3"</f>
        <v>prodcommsstorage.blob.core.windows.net/2024/0502/RE229d41af4ed78987da31b00e0ad10434.mp3</v>
      </c>
      <c r="AC30" s="23" t="s">
        <v>1291</v>
      </c>
      <c r="AD30" s="23">
        <f t="shared" ref="AD30" si="42">IF(AC30="ET",0.04166667,IF(AC30="MT",-0.04166667,IF(AC30="PT",-0.08333333,0)))</f>
        <v>4.1666670000000003E-2</v>
      </c>
      <c r="AE30" s="27"/>
      <c r="AF30" s="27"/>
      <c r="AG30" s="27"/>
      <c r="AH30" s="28"/>
      <c r="AI30" s="28"/>
      <c r="AJ30" s="28"/>
      <c r="AK30" s="28"/>
      <c r="AL30" s="27"/>
      <c r="AM30" s="19"/>
      <c r="AN30" s="18" t="str">
        <f>"864-426-5795"</f>
        <v>864-426-5795</v>
      </c>
      <c r="AO30" s="18"/>
      <c r="AP30" s="33">
        <v>1</v>
      </c>
      <c r="AQ30" s="18" t="str">
        <f>"CHAD CANNON"</f>
        <v>CHAD CANNON</v>
      </c>
      <c r="AR30" s="23">
        <f t="shared" ref="AR30:AR69" si="43">C30</f>
        <v>404478881</v>
      </c>
      <c r="AT30" s="14"/>
      <c r="AU30" s="14"/>
      <c r="AV30" s="14"/>
      <c r="AW30" s="14"/>
      <c r="AX30" s="14"/>
      <c r="AY30" s="14"/>
      <c r="AZ30" s="58" t="str">
        <f>"CHAD CANNON"</f>
        <v>CHAD CANNON</v>
      </c>
      <c r="BA30" s="58">
        <v>12</v>
      </c>
      <c r="BB30" s="58">
        <v>1</v>
      </c>
      <c r="BC30" s="58" t="s">
        <v>1384</v>
      </c>
      <c r="BD30" s="58"/>
      <c r="BE30" s="59" t="str">
        <f>" CHEVROLET Tahoe"</f>
        <v xml:space="preserve"> CHEVROLET Tahoe</v>
      </c>
      <c r="BF30" s="59" t="str">
        <f>"Black 2014 NISSAN Altima  with 162k mi for $7200"</f>
        <v>Black 2014 NISSAN Altima  with 162k mi for $7200</v>
      </c>
      <c r="BG30" s="59" t="s">
        <v>1289</v>
      </c>
      <c r="BH30" s="58"/>
      <c r="BI30" s="59" t="s">
        <v>1289</v>
      </c>
      <c r="BJ30" s="58"/>
    </row>
    <row r="31" spans="1:68" s="23" customFormat="1" ht="72.75" customHeight="1" thickBot="1" x14ac:dyDescent="0.3">
      <c r="A31" s="23" t="s">
        <v>257</v>
      </c>
      <c r="B31" s="34"/>
      <c r="C31" s="35"/>
      <c r="D31" s="36" t="str">
        <f>D30</f>
        <v>"CallButtonSMI","","Events","Event_Id","404478881"</v>
      </c>
      <c r="E31" s="89" t="s">
        <v>1336</v>
      </c>
      <c r="F31" s="90"/>
      <c r="G31" s="90"/>
      <c r="H31" s="90"/>
      <c r="I31" s="90"/>
      <c r="J31" s="90"/>
      <c r="K31" s="90"/>
      <c r="L31" s="90"/>
      <c r="M31" s="90"/>
      <c r="N31" s="90"/>
      <c r="O31" s="90"/>
      <c r="P31" s="90"/>
      <c r="Q31" s="91"/>
      <c r="R31" s="62" t="s">
        <v>55</v>
      </c>
      <c r="S31" s="29"/>
      <c r="U31" s="42"/>
      <c r="V31" s="11"/>
      <c r="W31" s="11"/>
      <c r="X31" s="12"/>
      <c r="Y31" s="13"/>
      <c r="AE31" s="29"/>
      <c r="AF31" s="29" t="s">
        <v>1296</v>
      </c>
      <c r="AG31" s="29"/>
      <c r="AH31" s="29"/>
      <c r="AI31" s="29"/>
      <c r="AJ31" s="29"/>
      <c r="AK31" s="29"/>
      <c r="AL31" s="29"/>
      <c r="AM31" s="38" t="str">
        <f t="shared" ref="AM31:AM69" si="44">IF(AM30="","","  [Dealer Response: "&amp;AM30&amp;"] ")</f>
        <v/>
      </c>
      <c r="AN31" s="33"/>
      <c r="AO31" s="33"/>
      <c r="AQ31" s="23" t="str">
        <f>IF(AQ30="","","  [Reverse Lookup Name: "&amp;AQ30&amp;"] ")</f>
        <v xml:space="preserve">  [Reverse Lookup Name: CHAD CANNON] </v>
      </c>
      <c r="AR31" s="23" t="str">
        <f t="shared" ref="AR31:AR69" si="45">""&amp;AR30</f>
        <v>404478881</v>
      </c>
      <c r="AT31" s="14"/>
      <c r="AU31" s="14"/>
      <c r="AV31" s="14"/>
      <c r="AW31" s="14"/>
      <c r="AX31" s="14"/>
      <c r="AY31" s="14"/>
      <c r="AZ31" s="55" t="str">
        <f>BB31&amp;BE31&amp;"  "&amp;BG31&amp;"  "&amp;BI31</f>
        <v xml:space="preserve">Open Alert: Used Sales Opportunity CHEVROLET Tahoe    </v>
      </c>
      <c r="BA31" s="54"/>
      <c r="BB31" s="56" t="str">
        <f>IF(BD30=1,"Closed Alert: "&amp;BC30,IF(BC30="","", "Open Alert: "&amp;BC30))</f>
        <v>Open Alert: Used Sales Opportunity</v>
      </c>
      <c r="BC31" s="54"/>
      <c r="BD31" s="54"/>
      <c r="BE31" s="56" t="str">
        <f>IF(BE30="","",BE30)</f>
        <v xml:space="preserve"> CHEVROLET Tahoe</v>
      </c>
      <c r="BF31" s="56" t="str">
        <f>IF(BF30="","",BF30)</f>
        <v>Black 2014 NISSAN Altima  with 162k mi for $7200</v>
      </c>
      <c r="BG31" s="56" t="str">
        <f t="shared" ref="BG31:BG69" si="46">IF(BH30="","","  ["&amp;BG30&amp;": "&amp;BH30&amp;"]")</f>
        <v/>
      </c>
      <c r="BH31" s="54"/>
      <c r="BI31" s="56" t="str">
        <f t="shared" ref="BI31:BI69" si="47">IF(BJ30="","","  ["&amp;BI30&amp;": "&amp;BJ30&amp;"]")</f>
        <v/>
      </c>
      <c r="BJ31" s="54"/>
    </row>
    <row r="32" spans="1:68" s="23" customFormat="1" ht="46.5" customHeight="1" thickTop="1" x14ac:dyDescent="0.25">
      <c r="A32" s="23" t="s">
        <v>257</v>
      </c>
      <c r="B32" s="34"/>
      <c r="C32" s="35">
        <v>408153404</v>
      </c>
      <c r="D32" s="36" t="str">
        <f>"""CallButtonSMI"","""",""Events"",""Event_Id"",""408153404"""</f>
        <v>"CallButtonSMI","","Events","Event_Id","408153404"</v>
      </c>
      <c r="E32" s="48">
        <v>45430.441192129627</v>
      </c>
      <c r="F32" s="49">
        <v>45430.482858799624</v>
      </c>
      <c r="G32" s="50">
        <v>2.4166666666666665</v>
      </c>
      <c r="H32" s="51" t="s">
        <v>1327</v>
      </c>
      <c r="I32" s="51" t="s">
        <v>1337</v>
      </c>
      <c r="J32" s="51" t="str">
        <f t="shared" ref="J32:J69" si="48">IF($C32="","",IF(AO32="",AN32,AN32&amp;" "&amp;AO32))</f>
        <v>864-415-5342</v>
      </c>
      <c r="K32" s="51" t="s">
        <v>1338</v>
      </c>
      <c r="L32" s="51" t="s">
        <v>1339</v>
      </c>
      <c r="M32" s="51" t="s">
        <v>1320</v>
      </c>
      <c r="N32" s="65" t="str">
        <f t="shared" ref="N32:N69" si="49">BF33</f>
        <v xml:space="preserve"> NISSAN Pathfinder with Stock # N24438</v>
      </c>
      <c r="O32" s="65" t="str">
        <f t="shared" ref="O32:O69" si="50">BE33</f>
        <v/>
      </c>
      <c r="P32" s="65" t="str">
        <f t="shared" ref="P32:P69" si="51">BB33</f>
        <v>Open Alert: Used Sales Opportunity</v>
      </c>
      <c r="Q32" s="51"/>
      <c r="R32" s="46" t="str">
        <f t="shared" ref="R32:R69" si="52">IF($C32="","",IF($Y32="","",HYPERLINK($Y32,"(")))</f>
        <v>(</v>
      </c>
      <c r="S32" s="33"/>
      <c r="T32" s="37"/>
      <c r="U32" s="33"/>
      <c r="V32" s="11"/>
      <c r="W32" s="11"/>
      <c r="X32" s="12"/>
      <c r="Y32" s="13" t="str">
        <f t="shared" ref="Y32:Y69" si="53">IF($Z32="","",IF(LEFT($Z32,4)="http",$Z32,"http://"&amp;$Z32))</f>
        <v>http://prodcommsstorage.blob.core.windows.net/2024/0518/RE905d76b135b2732170c1d4342d6ea117.mp3</v>
      </c>
      <c r="Z32" s="23" t="str">
        <f>"prodcommsstorage.blob.core.windows.net/2024/0518/RE905d76b135b2732170c1d4342d6ea117.mp3"</f>
        <v>prodcommsstorage.blob.core.windows.net/2024/0518/RE905d76b135b2732170c1d4342d6ea117.mp3</v>
      </c>
      <c r="AC32" s="23" t="s">
        <v>1291</v>
      </c>
      <c r="AD32" s="23">
        <f t="shared" ref="AD32" si="54">IF(AC32="ET",0.04166667,IF(AC32="MT",-0.04166667,IF(AC32="PT",-0.08333333,0)))</f>
        <v>4.1666670000000003E-2</v>
      </c>
      <c r="AE32" s="27"/>
      <c r="AF32" s="27"/>
      <c r="AG32" s="27"/>
      <c r="AH32" s="28"/>
      <c r="AI32" s="28"/>
      <c r="AJ32" s="28"/>
      <c r="AK32" s="28"/>
      <c r="AL32" s="27"/>
      <c r="AM32" s="19"/>
      <c r="AN32" s="18" t="str">
        <f>"864-415-5342"</f>
        <v>864-415-5342</v>
      </c>
      <c r="AO32" s="18"/>
      <c r="AP32" s="33">
        <v>1</v>
      </c>
      <c r="AQ32" s="18" t="str">
        <f>"WILLIAM SHIRAH"</f>
        <v>WILLIAM SHIRAH</v>
      </c>
      <c r="AR32" s="23">
        <f t="shared" ref="AR32:AR69" si="55">C32</f>
        <v>408153404</v>
      </c>
      <c r="AT32" s="14"/>
      <c r="AU32" s="14"/>
      <c r="AV32" s="14"/>
      <c r="AW32" s="14"/>
      <c r="AX32" s="14"/>
      <c r="AY32" s="14"/>
      <c r="AZ32" s="58" t="str">
        <f>"WILLIAM SHIRAH"</f>
        <v>WILLIAM SHIRAH</v>
      </c>
      <c r="BA32" s="58">
        <v>12</v>
      </c>
      <c r="BB32" s="58">
        <v>1</v>
      </c>
      <c r="BC32" s="58" t="s">
        <v>1384</v>
      </c>
      <c r="BD32" s="58"/>
      <c r="BE32" s="59"/>
      <c r="BF32" s="59" t="str">
        <f>" NISSAN Pathfinder with Stock # N24438"</f>
        <v xml:space="preserve"> NISSAN Pathfinder with Stock # N24438</v>
      </c>
      <c r="BG32" s="59" t="s">
        <v>1289</v>
      </c>
      <c r="BH32" s="58"/>
      <c r="BI32" s="59" t="s">
        <v>1289</v>
      </c>
      <c r="BJ32" s="58"/>
    </row>
    <row r="33" spans="1:62" s="23" customFormat="1" ht="72.75" customHeight="1" thickBot="1" x14ac:dyDescent="0.3">
      <c r="A33" s="23" t="s">
        <v>257</v>
      </c>
      <c r="B33" s="34"/>
      <c r="C33" s="35"/>
      <c r="D33" s="36" t="str">
        <f>D32</f>
        <v>"CallButtonSMI","","Events","Event_Id","408153404"</v>
      </c>
      <c r="E33" s="89" t="s">
        <v>1340</v>
      </c>
      <c r="F33" s="90"/>
      <c r="G33" s="90"/>
      <c r="H33" s="90"/>
      <c r="I33" s="90"/>
      <c r="J33" s="90"/>
      <c r="K33" s="90"/>
      <c r="L33" s="90"/>
      <c r="M33" s="90"/>
      <c r="N33" s="90"/>
      <c r="O33" s="90"/>
      <c r="P33" s="90"/>
      <c r="Q33" s="91"/>
      <c r="R33" s="62" t="s">
        <v>55</v>
      </c>
      <c r="S33" s="29"/>
      <c r="U33" s="42"/>
      <c r="V33" s="11"/>
      <c r="W33" s="11"/>
      <c r="X33" s="12"/>
      <c r="Y33" s="13"/>
      <c r="AE33" s="29"/>
      <c r="AF33" s="29" t="s">
        <v>1297</v>
      </c>
      <c r="AG33" s="29"/>
      <c r="AH33" s="29"/>
      <c r="AI33" s="29"/>
      <c r="AJ33" s="29"/>
      <c r="AK33" s="29"/>
      <c r="AL33" s="29"/>
      <c r="AM33" s="38" t="str">
        <f t="shared" ref="AM33:AM69" si="56">IF(AM32="","","  [Dealer Response: "&amp;AM32&amp;"] ")</f>
        <v/>
      </c>
      <c r="AN33" s="33"/>
      <c r="AO33" s="33"/>
      <c r="AQ33" s="23" t="str">
        <f>IF(AQ32="","","  [Reverse Lookup Name: "&amp;AQ32&amp;"] ")</f>
        <v xml:space="preserve">  [Reverse Lookup Name: WILLIAM SHIRAH] </v>
      </c>
      <c r="AR33" s="23" t="str">
        <f t="shared" ref="AR33:AR69" si="57">""&amp;AR32</f>
        <v>408153404</v>
      </c>
      <c r="AT33" s="14"/>
      <c r="AU33" s="14"/>
      <c r="AV33" s="14"/>
      <c r="AW33" s="14"/>
      <c r="AX33" s="14"/>
      <c r="AY33" s="14"/>
      <c r="AZ33" s="55" t="str">
        <f>BB33&amp;BE33&amp;"  "&amp;BG33&amp;"  "&amp;BI33</f>
        <v xml:space="preserve">Open Alert: Used Sales Opportunity    </v>
      </c>
      <c r="BA33" s="54"/>
      <c r="BB33" s="56" t="str">
        <f>IF(BD32=1,"Closed Alert: "&amp;BC32,IF(BC32="","", "Open Alert: "&amp;BC32))</f>
        <v>Open Alert: Used Sales Opportunity</v>
      </c>
      <c r="BC33" s="54"/>
      <c r="BD33" s="54"/>
      <c r="BE33" s="56" t="str">
        <f>IF(BE32="","",BE32)</f>
        <v/>
      </c>
      <c r="BF33" s="56" t="str">
        <f>IF(BF32="","",BF32)</f>
        <v xml:space="preserve"> NISSAN Pathfinder with Stock # N24438</v>
      </c>
      <c r="BG33" s="56" t="str">
        <f t="shared" ref="BG33:BG69" si="58">IF(BH32="","","  ["&amp;BG32&amp;": "&amp;BH32&amp;"]")</f>
        <v/>
      </c>
      <c r="BH33" s="54"/>
      <c r="BI33" s="56" t="str">
        <f t="shared" ref="BI33:BI69" si="59">IF(BJ32="","","  ["&amp;BI32&amp;": "&amp;BJ32&amp;"]")</f>
        <v/>
      </c>
      <c r="BJ33" s="54"/>
    </row>
    <row r="34" spans="1:62" s="23" customFormat="1" ht="46.5" customHeight="1" thickTop="1" x14ac:dyDescent="0.25">
      <c r="A34" s="23" t="s">
        <v>257</v>
      </c>
      <c r="B34" s="34"/>
      <c r="C34" s="35">
        <v>409917045</v>
      </c>
      <c r="D34" s="36" t="str">
        <f>"""CallButtonSMI"","""",""Events"",""Event_Id"",""409917045"""</f>
        <v>"CallButtonSMI","","Events","Event_Id","409917045"</v>
      </c>
      <c r="E34" s="48">
        <v>45437.589479166665</v>
      </c>
      <c r="F34" s="49">
        <v>45437.631145836662</v>
      </c>
      <c r="G34" s="50">
        <v>3.8666666666666667</v>
      </c>
      <c r="H34" s="51" t="s">
        <v>1316</v>
      </c>
      <c r="I34" s="51" t="s">
        <v>1341</v>
      </c>
      <c r="J34" s="51" t="str">
        <f t="shared" ref="J34:J69" si="60">IF($C34="","",IF(AO34="",AN34,AN34&amp;" "&amp;AO34))</f>
        <v>864-541-1070</v>
      </c>
      <c r="K34" s="51" t="s">
        <v>1323</v>
      </c>
      <c r="L34" s="51" t="s">
        <v>1339</v>
      </c>
      <c r="M34" s="51" t="s">
        <v>1320</v>
      </c>
      <c r="N34" s="65" t="str">
        <f t="shared" ref="N34:N69" si="61">BF35</f>
        <v xml:space="preserve">2018 MITSUBISHI Mirage 129k mi  Listed For $7300 </v>
      </c>
      <c r="O34" s="65" t="str">
        <f t="shared" ref="O34:O69" si="62">BE35</f>
        <v/>
      </c>
      <c r="P34" s="65" t="str">
        <f t="shared" ref="P34:P69" si="63">BB35</f>
        <v>Open Alert: Used Sales Opportunity</v>
      </c>
      <c r="Q34" s="51"/>
      <c r="R34" s="46" t="str">
        <f t="shared" ref="R34:R69" si="64">IF($C34="","",IF($Y34="","",HYPERLINK($Y34,"(")))</f>
        <v>(</v>
      </c>
      <c r="S34" s="33"/>
      <c r="T34" s="37"/>
      <c r="U34" s="33"/>
      <c r="V34" s="11"/>
      <c r="W34" s="11"/>
      <c r="X34" s="12"/>
      <c r="Y34" s="13" t="str">
        <f t="shared" ref="Y34:Y69" si="65">IF($Z34="","",IF(LEFT($Z34,4)="http",$Z34,"http://"&amp;$Z34))</f>
        <v>http://prodcommsstorage.blob.core.windows.net/2024/0525/RE98996583531329160acb8a3aabe5c910.mp3</v>
      </c>
      <c r="Z34" s="23" t="str">
        <f>"prodcommsstorage.blob.core.windows.net/2024/0525/RE98996583531329160acb8a3aabe5c910.mp3"</f>
        <v>prodcommsstorage.blob.core.windows.net/2024/0525/RE98996583531329160acb8a3aabe5c910.mp3</v>
      </c>
      <c r="AC34" s="23" t="s">
        <v>1291</v>
      </c>
      <c r="AD34" s="23">
        <f t="shared" ref="AD34" si="66">IF(AC34="ET",0.04166667,IF(AC34="MT",-0.04166667,IF(AC34="PT",-0.08333333,0)))</f>
        <v>4.1666670000000003E-2</v>
      </c>
      <c r="AE34" s="27"/>
      <c r="AF34" s="27"/>
      <c r="AG34" s="27"/>
      <c r="AH34" s="28"/>
      <c r="AI34" s="28"/>
      <c r="AJ34" s="28"/>
      <c r="AK34" s="28"/>
      <c r="AL34" s="27"/>
      <c r="AM34" s="19"/>
      <c r="AN34" s="18" t="str">
        <f>"864-541-1070"</f>
        <v>864-541-1070</v>
      </c>
      <c r="AO34" s="18"/>
      <c r="AP34" s="33">
        <v>1</v>
      </c>
      <c r="AQ34" s="18" t="str">
        <f>"SC CALLER"</f>
        <v>SC CALLER</v>
      </c>
      <c r="AR34" s="23">
        <f t="shared" ref="AR34:AR69" si="67">C34</f>
        <v>409917045</v>
      </c>
      <c r="AT34" s="14"/>
      <c r="AU34" s="14"/>
      <c r="AV34" s="14"/>
      <c r="AW34" s="14"/>
      <c r="AX34" s="14"/>
      <c r="AY34" s="14"/>
      <c r="AZ34" s="58" t="str">
        <f>"SC CALLER"</f>
        <v>SC CALLER</v>
      </c>
      <c r="BA34" s="58">
        <v>12</v>
      </c>
      <c r="BB34" s="58">
        <v>1</v>
      </c>
      <c r="BC34" s="58" t="s">
        <v>1384</v>
      </c>
      <c r="BD34" s="58"/>
      <c r="BE34" s="59"/>
      <c r="BF34" s="59" t="str">
        <f>"2018 MITSUBISHI Mirage 129k mi  Listed For $7300 "</f>
        <v xml:space="preserve">2018 MITSUBISHI Mirage 129k mi  Listed For $7300 </v>
      </c>
      <c r="BG34" s="59" t="s">
        <v>1289</v>
      </c>
      <c r="BH34" s="58"/>
      <c r="BI34" s="59" t="s">
        <v>1289</v>
      </c>
      <c r="BJ34" s="58"/>
    </row>
    <row r="35" spans="1:62" s="23" customFormat="1" ht="72.75" customHeight="1" thickBot="1" x14ac:dyDescent="0.3">
      <c r="A35" s="23" t="s">
        <v>257</v>
      </c>
      <c r="B35" s="34"/>
      <c r="C35" s="35"/>
      <c r="D35" s="36" t="str">
        <f>D34</f>
        <v>"CallButtonSMI","","Events","Event_Id","409917045"</v>
      </c>
      <c r="E35" s="89" t="s">
        <v>1342</v>
      </c>
      <c r="F35" s="90"/>
      <c r="G35" s="90"/>
      <c r="H35" s="90"/>
      <c r="I35" s="90"/>
      <c r="J35" s="90"/>
      <c r="K35" s="90"/>
      <c r="L35" s="90"/>
      <c r="M35" s="90"/>
      <c r="N35" s="90"/>
      <c r="O35" s="90"/>
      <c r="P35" s="90"/>
      <c r="Q35" s="91"/>
      <c r="R35" s="62" t="s">
        <v>55</v>
      </c>
      <c r="S35" s="29"/>
      <c r="U35" s="42"/>
      <c r="V35" s="11"/>
      <c r="W35" s="11"/>
      <c r="X35" s="12"/>
      <c r="Y35" s="13"/>
      <c r="AE35" s="29"/>
      <c r="AF35" s="29" t="s">
        <v>1298</v>
      </c>
      <c r="AG35" s="29"/>
      <c r="AH35" s="29"/>
      <c r="AI35" s="29"/>
      <c r="AJ35" s="29"/>
      <c r="AK35" s="29"/>
      <c r="AL35" s="29"/>
      <c r="AM35" s="38" t="str">
        <f t="shared" ref="AM35:AM69" si="68">IF(AM34="","","  [Dealer Response: "&amp;AM34&amp;"] ")</f>
        <v/>
      </c>
      <c r="AN35" s="33"/>
      <c r="AO35" s="33"/>
      <c r="AQ35" s="23" t="str">
        <f>IF(AQ34="","","  [Reverse Lookup Name: "&amp;AQ34&amp;"] ")</f>
        <v xml:space="preserve">  [Reverse Lookup Name: SC CALLER] </v>
      </c>
      <c r="AR35" s="23" t="str">
        <f t="shared" ref="AR35:AR69" si="69">""&amp;AR34</f>
        <v>409917045</v>
      </c>
      <c r="AT35" s="14"/>
      <c r="AU35" s="14"/>
      <c r="AV35" s="14"/>
      <c r="AW35" s="14"/>
      <c r="AX35" s="14"/>
      <c r="AY35" s="14"/>
      <c r="AZ35" s="55" t="str">
        <f>BB35&amp;BE35&amp;"  "&amp;BG35&amp;"  "&amp;BI35</f>
        <v xml:space="preserve">Open Alert: Used Sales Opportunity    </v>
      </c>
      <c r="BA35" s="54"/>
      <c r="BB35" s="56" t="str">
        <f>IF(BD34=1,"Closed Alert: "&amp;BC34,IF(BC34="","", "Open Alert: "&amp;BC34))</f>
        <v>Open Alert: Used Sales Opportunity</v>
      </c>
      <c r="BC35" s="54"/>
      <c r="BD35" s="54"/>
      <c r="BE35" s="56" t="str">
        <f>IF(BE34="","",BE34)</f>
        <v/>
      </c>
      <c r="BF35" s="56" t="str">
        <f>IF(BF34="","",BF34)</f>
        <v xml:space="preserve">2018 MITSUBISHI Mirage 129k mi  Listed For $7300 </v>
      </c>
      <c r="BG35" s="56" t="str">
        <f t="shared" ref="BG35:BG69" si="70">IF(BH34="","","  ["&amp;BG34&amp;": "&amp;BH34&amp;"]")</f>
        <v/>
      </c>
      <c r="BH35" s="54"/>
      <c r="BI35" s="56" t="str">
        <f t="shared" ref="BI35:BI69" si="71">IF(BJ34="","","  ["&amp;BI34&amp;": "&amp;BJ34&amp;"]")</f>
        <v/>
      </c>
      <c r="BJ35" s="54"/>
    </row>
    <row r="36" spans="1:62" s="23" customFormat="1" ht="46.5" customHeight="1" thickTop="1" x14ac:dyDescent="0.25">
      <c r="A36" s="23" t="s">
        <v>257</v>
      </c>
      <c r="B36" s="34"/>
      <c r="C36" s="35">
        <v>406116845</v>
      </c>
      <c r="D36" s="36" t="str">
        <f>"""CallButtonSMI"","""",""Events"",""Event_Id"",""406116845"""</f>
        <v>"CallButtonSMI","","Events","Event_Id","406116845"</v>
      </c>
      <c r="E36" s="48">
        <v>45421.630636574075</v>
      </c>
      <c r="F36" s="49">
        <v>45421.672303244071</v>
      </c>
      <c r="G36" s="50">
        <v>1.4333333333333333</v>
      </c>
      <c r="H36" s="51" t="s">
        <v>1316</v>
      </c>
      <c r="I36" s="51" t="s">
        <v>1343</v>
      </c>
      <c r="J36" s="51" t="str">
        <f t="shared" ref="J36:J69" si="72">IF($C36="","",IF(AO36="",AN36,AN36&amp;" "&amp;AO36))</f>
        <v>386-569-9124</v>
      </c>
      <c r="K36" s="51" t="s">
        <v>1323</v>
      </c>
      <c r="L36" s="51" t="s">
        <v>1344</v>
      </c>
      <c r="M36" s="51" t="s">
        <v>1325</v>
      </c>
      <c r="N36" s="65" t="str">
        <f t="shared" ref="N36:N69" si="73">BF37</f>
        <v xml:space="preserve"> NISSAN </v>
      </c>
      <c r="O36" s="65" t="str">
        <f t="shared" ref="O36:O69" si="74">BE37</f>
        <v/>
      </c>
      <c r="P36" s="65" t="str">
        <f t="shared" ref="P36:P69" si="75">BB37</f>
        <v>Open Alert: New Sales Opportunity</v>
      </c>
      <c r="Q36" s="51"/>
      <c r="R36" s="46" t="str">
        <f t="shared" ref="R36:R69" si="76">IF($C36="","",IF($Y36="","",HYPERLINK($Y36,"(")))</f>
        <v>(</v>
      </c>
      <c r="S36" s="33"/>
      <c r="T36" s="37"/>
      <c r="U36" s="33"/>
      <c r="V36" s="11"/>
      <c r="W36" s="11"/>
      <c r="X36" s="12"/>
      <c r="Y36" s="13" t="str">
        <f t="shared" ref="Y36:Y69" si="77">IF($Z36="","",IF(LEFT($Z36,4)="http",$Z36,"http://"&amp;$Z36))</f>
        <v>http://prodcommsstorage.blob.core.windows.net/2024/0509/REc02b911374181d98c50e85672d215e09.mp3</v>
      </c>
      <c r="Z36" s="23" t="str">
        <f>"prodcommsstorage.blob.core.windows.net/2024/0509/REc02b911374181d98c50e85672d215e09.mp3"</f>
        <v>prodcommsstorage.blob.core.windows.net/2024/0509/REc02b911374181d98c50e85672d215e09.mp3</v>
      </c>
      <c r="AC36" s="23" t="s">
        <v>1291</v>
      </c>
      <c r="AD36" s="23">
        <f t="shared" ref="AD36" si="78">IF(AC36="ET",0.04166667,IF(AC36="MT",-0.04166667,IF(AC36="PT",-0.08333333,0)))</f>
        <v>4.1666670000000003E-2</v>
      </c>
      <c r="AE36" s="27"/>
      <c r="AF36" s="27"/>
      <c r="AG36" s="27"/>
      <c r="AH36" s="28"/>
      <c r="AI36" s="28"/>
      <c r="AJ36" s="28"/>
      <c r="AK36" s="28"/>
      <c r="AL36" s="27"/>
      <c r="AM36" s="19"/>
      <c r="AN36" s="18" t="str">
        <f>"386-569-9124"</f>
        <v>386-569-9124</v>
      </c>
      <c r="AO36" s="18"/>
      <c r="AP36" s="33">
        <v>1</v>
      </c>
      <c r="AQ36" s="18" t="str">
        <f>"MICHAEL PEPPIN"</f>
        <v>MICHAEL PEPPIN</v>
      </c>
      <c r="AR36" s="23">
        <f t="shared" ref="AR36:AR69" si="79">C36</f>
        <v>406116845</v>
      </c>
      <c r="AT36" s="14"/>
      <c r="AU36" s="14"/>
      <c r="AV36" s="14"/>
      <c r="AW36" s="14"/>
      <c r="AX36" s="14"/>
      <c r="AY36" s="14"/>
      <c r="AZ36" s="58" t="str">
        <f>"MICHAEL PEPPIN"</f>
        <v>MICHAEL PEPPIN</v>
      </c>
      <c r="BA36" s="58">
        <v>11</v>
      </c>
      <c r="BB36" s="58">
        <v>1</v>
      </c>
      <c r="BC36" s="58" t="s">
        <v>1385</v>
      </c>
      <c r="BD36" s="58"/>
      <c r="BE36" s="59"/>
      <c r="BF36" s="59" t="str">
        <f>" NISSAN "</f>
        <v xml:space="preserve"> NISSAN </v>
      </c>
      <c r="BG36" s="59" t="s">
        <v>1289</v>
      </c>
      <c r="BH36" s="58"/>
      <c r="BI36" s="59" t="s">
        <v>1289</v>
      </c>
      <c r="BJ36" s="58"/>
    </row>
    <row r="37" spans="1:62" s="23" customFormat="1" ht="72.75" customHeight="1" thickBot="1" x14ac:dyDescent="0.3">
      <c r="A37" s="23" t="s">
        <v>257</v>
      </c>
      <c r="B37" s="34"/>
      <c r="C37" s="35"/>
      <c r="D37" s="36" t="str">
        <f>D36</f>
        <v>"CallButtonSMI","","Events","Event_Id","406116845"</v>
      </c>
      <c r="E37" s="89" t="s">
        <v>1345</v>
      </c>
      <c r="F37" s="90"/>
      <c r="G37" s="90"/>
      <c r="H37" s="90"/>
      <c r="I37" s="90"/>
      <c r="J37" s="90"/>
      <c r="K37" s="90"/>
      <c r="L37" s="90"/>
      <c r="M37" s="90"/>
      <c r="N37" s="90"/>
      <c r="O37" s="90"/>
      <c r="P37" s="90"/>
      <c r="Q37" s="91"/>
      <c r="R37" s="62" t="s">
        <v>55</v>
      </c>
      <c r="S37" s="29"/>
      <c r="U37" s="42"/>
      <c r="V37" s="11"/>
      <c r="W37" s="11"/>
      <c r="X37" s="12"/>
      <c r="Y37" s="13"/>
      <c r="AE37" s="29"/>
      <c r="AF37" s="29" t="s">
        <v>1299</v>
      </c>
      <c r="AG37" s="29"/>
      <c r="AH37" s="29"/>
      <c r="AI37" s="29"/>
      <c r="AJ37" s="29"/>
      <c r="AK37" s="29"/>
      <c r="AL37" s="29"/>
      <c r="AM37" s="38" t="str">
        <f t="shared" ref="AM37:AM69" si="80">IF(AM36="","","  [Dealer Response: "&amp;AM36&amp;"] ")</f>
        <v/>
      </c>
      <c r="AN37" s="33"/>
      <c r="AO37" s="33"/>
      <c r="AQ37" s="23" t="str">
        <f>IF(AQ36="","","  [Reverse Lookup Name: "&amp;AQ36&amp;"] ")</f>
        <v xml:space="preserve">  [Reverse Lookup Name: MICHAEL PEPPIN] </v>
      </c>
      <c r="AR37" s="23" t="str">
        <f t="shared" ref="AR37:AR69" si="81">""&amp;AR36</f>
        <v>406116845</v>
      </c>
      <c r="AT37" s="14"/>
      <c r="AU37" s="14"/>
      <c r="AV37" s="14"/>
      <c r="AW37" s="14"/>
      <c r="AX37" s="14"/>
      <c r="AY37" s="14"/>
      <c r="AZ37" s="55" t="str">
        <f>BB37&amp;BE37&amp;"  "&amp;BG37&amp;"  "&amp;BI37</f>
        <v xml:space="preserve">Open Alert: New Sales Opportunity    </v>
      </c>
      <c r="BA37" s="54"/>
      <c r="BB37" s="56" t="str">
        <f>IF(BD36=1,"Closed Alert: "&amp;BC36,IF(BC36="","", "Open Alert: "&amp;BC36))</f>
        <v>Open Alert: New Sales Opportunity</v>
      </c>
      <c r="BC37" s="54"/>
      <c r="BD37" s="54"/>
      <c r="BE37" s="56" t="str">
        <f>IF(BE36="","",BE36)</f>
        <v/>
      </c>
      <c r="BF37" s="56" t="str">
        <f>IF(BF36="","",BF36)</f>
        <v xml:space="preserve"> NISSAN </v>
      </c>
      <c r="BG37" s="56" t="str">
        <f t="shared" ref="BG37:BG69" si="82">IF(BH36="","","  ["&amp;BG36&amp;": "&amp;BH36&amp;"]")</f>
        <v/>
      </c>
      <c r="BH37" s="54"/>
      <c r="BI37" s="56" t="str">
        <f t="shared" ref="BI37:BI69" si="83">IF(BJ36="","","  ["&amp;BI36&amp;": "&amp;BJ36&amp;"]")</f>
        <v/>
      </c>
      <c r="BJ37" s="54"/>
    </row>
    <row r="38" spans="1:62" s="23" customFormat="1" ht="46.5" customHeight="1" thickTop="1" x14ac:dyDescent="0.25">
      <c r="A38" s="23" t="s">
        <v>257</v>
      </c>
      <c r="B38" s="34"/>
      <c r="C38" s="35">
        <v>404748896</v>
      </c>
      <c r="D38" s="36" t="str">
        <f>"""CallButtonSMI"","""",""Events"",""Event_Id"",""404748896"""</f>
        <v>"CallButtonSMI","","Events","Event_Id","404748896"</v>
      </c>
      <c r="E38" s="48">
        <v>45415.61278935185</v>
      </c>
      <c r="F38" s="49">
        <v>45415.654456021846</v>
      </c>
      <c r="G38" s="50">
        <v>5.3666666666666663</v>
      </c>
      <c r="H38" s="51" t="s">
        <v>1327</v>
      </c>
      <c r="I38" s="51" t="s">
        <v>1346</v>
      </c>
      <c r="J38" s="51" t="str">
        <f t="shared" ref="J38:J69" si="84">IF($C38="","",IF(AO38="",AN38,AN38&amp;" "&amp;AO38))</f>
        <v>828-429-1893 828-429-1893</v>
      </c>
      <c r="K38" s="51" t="s">
        <v>1323</v>
      </c>
      <c r="L38" s="51" t="s">
        <v>1344</v>
      </c>
      <c r="M38" s="51" t="s">
        <v>1325</v>
      </c>
      <c r="N38" s="65" t="str">
        <f t="shared" ref="N38:N69" si="85">BF39</f>
        <v>2023 NISSAN Altima 2.5 S FWD</v>
      </c>
      <c r="O38" s="65" t="str">
        <f t="shared" ref="O38:O69" si="86">BE39</f>
        <v/>
      </c>
      <c r="P38" s="65" t="str">
        <f t="shared" ref="P38:P69" si="87">BB39</f>
        <v>Open Alert: New Sales Opportunity</v>
      </c>
      <c r="Q38" s="51"/>
      <c r="R38" s="46" t="str">
        <f t="shared" ref="R38:R69" si="88">IF($C38="","",IF($Y38="","",HYPERLINK($Y38,"(")))</f>
        <v>(</v>
      </c>
      <c r="S38" s="33"/>
      <c r="T38" s="37"/>
      <c r="U38" s="33"/>
      <c r="V38" s="11"/>
      <c r="W38" s="11"/>
      <c r="X38" s="12"/>
      <c r="Y38" s="13" t="str">
        <f t="shared" ref="Y38:Y69" si="89">IF($Z38="","",IF(LEFT($Z38,4)="http",$Z38,"http://"&amp;$Z38))</f>
        <v>http://prodcommsstorage.blob.core.windows.net/2024/0503/REc78ba41a6555e00a9d61dc76ddcdbc02.mp3</v>
      </c>
      <c r="Z38" s="23" t="str">
        <f>"prodcommsstorage.blob.core.windows.net/2024/0503/REc78ba41a6555e00a9d61dc76ddcdbc02.mp3"</f>
        <v>prodcommsstorage.blob.core.windows.net/2024/0503/REc78ba41a6555e00a9d61dc76ddcdbc02.mp3</v>
      </c>
      <c r="AC38" s="23" t="s">
        <v>1291</v>
      </c>
      <c r="AD38" s="23">
        <f t="shared" ref="AD38" si="90">IF(AC38="ET",0.04166667,IF(AC38="MT",-0.04166667,IF(AC38="PT",-0.08333333,0)))</f>
        <v>4.1666670000000003E-2</v>
      </c>
      <c r="AE38" s="27"/>
      <c r="AF38" s="27"/>
      <c r="AG38" s="27"/>
      <c r="AH38" s="28"/>
      <c r="AI38" s="28"/>
      <c r="AJ38" s="28"/>
      <c r="AK38" s="28"/>
      <c r="AL38" s="27"/>
      <c r="AM38" s="19"/>
      <c r="AN38" s="18" t="str">
        <f>"828-429-1893"</f>
        <v>828-429-1893</v>
      </c>
      <c r="AO38" s="18" t="str">
        <f>"828-429-1893"</f>
        <v>828-429-1893</v>
      </c>
      <c r="AP38" s="33">
        <v>1</v>
      </c>
      <c r="AQ38" s="18" t="str">
        <f>"STEVE CHRISMAN"</f>
        <v>STEVE CHRISMAN</v>
      </c>
      <c r="AR38" s="23">
        <f t="shared" ref="AR38:AR69" si="91">C38</f>
        <v>404748896</v>
      </c>
      <c r="AT38" s="14"/>
      <c r="AU38" s="14"/>
      <c r="AV38" s="14"/>
      <c r="AW38" s="14"/>
      <c r="AX38" s="14"/>
      <c r="AY38" s="14"/>
      <c r="AZ38" s="58" t="str">
        <f>"STEVE CHRISMAN"</f>
        <v>STEVE CHRISMAN</v>
      </c>
      <c r="BA38" s="58">
        <v>11</v>
      </c>
      <c r="BB38" s="58">
        <v>1</v>
      </c>
      <c r="BC38" s="58" t="s">
        <v>1385</v>
      </c>
      <c r="BD38" s="58"/>
      <c r="BE38" s="59"/>
      <c r="BF38" s="59" t="str">
        <f>"2023 NISSAN Altima 2.5 S FWD"</f>
        <v>2023 NISSAN Altima 2.5 S FWD</v>
      </c>
      <c r="BG38" s="59" t="s">
        <v>1289</v>
      </c>
      <c r="BH38" s="58"/>
      <c r="BI38" s="59" t="s">
        <v>1289</v>
      </c>
      <c r="BJ38" s="58"/>
    </row>
    <row r="39" spans="1:62" s="23" customFormat="1" ht="72.75" customHeight="1" thickBot="1" x14ac:dyDescent="0.3">
      <c r="A39" s="23" t="s">
        <v>257</v>
      </c>
      <c r="B39" s="34"/>
      <c r="C39" s="35"/>
      <c r="D39" s="36" t="str">
        <f>D38</f>
        <v>"CallButtonSMI","","Events","Event_Id","404748896"</v>
      </c>
      <c r="E39" s="89" t="s">
        <v>1347</v>
      </c>
      <c r="F39" s="90"/>
      <c r="G39" s="90"/>
      <c r="H39" s="90"/>
      <c r="I39" s="90"/>
      <c r="J39" s="90"/>
      <c r="K39" s="90"/>
      <c r="L39" s="90"/>
      <c r="M39" s="90"/>
      <c r="N39" s="90"/>
      <c r="O39" s="90"/>
      <c r="P39" s="90"/>
      <c r="Q39" s="91"/>
      <c r="R39" s="62" t="s">
        <v>55</v>
      </c>
      <c r="S39" s="29"/>
      <c r="U39" s="42"/>
      <c r="V39" s="11"/>
      <c r="W39" s="11"/>
      <c r="X39" s="12"/>
      <c r="Y39" s="13"/>
      <c r="AE39" s="29"/>
      <c r="AF39" s="29" t="s">
        <v>1300</v>
      </c>
      <c r="AG39" s="29"/>
      <c r="AH39" s="29"/>
      <c r="AI39" s="29"/>
      <c r="AJ39" s="29"/>
      <c r="AK39" s="29"/>
      <c r="AL39" s="29"/>
      <c r="AM39" s="38" t="str">
        <f t="shared" ref="AM39:AM69" si="92">IF(AM38="","","  [Dealer Response: "&amp;AM38&amp;"] ")</f>
        <v/>
      </c>
      <c r="AN39" s="33"/>
      <c r="AO39" s="33"/>
      <c r="AQ39" s="23" t="str">
        <f>IF(AQ38="","","  [Reverse Lookup Name: "&amp;AQ38&amp;"] ")</f>
        <v xml:space="preserve">  [Reverse Lookup Name: STEVE CHRISMAN] </v>
      </c>
      <c r="AR39" s="23" t="str">
        <f t="shared" ref="AR39:AR69" si="93">""&amp;AR38</f>
        <v>404748896</v>
      </c>
      <c r="AT39" s="14"/>
      <c r="AU39" s="14"/>
      <c r="AV39" s="14"/>
      <c r="AW39" s="14"/>
      <c r="AX39" s="14"/>
      <c r="AY39" s="14"/>
      <c r="AZ39" s="55" t="str">
        <f>BB39&amp;BE39&amp;"  "&amp;BG39&amp;"  "&amp;BI39</f>
        <v xml:space="preserve">Open Alert: New Sales Opportunity    </v>
      </c>
      <c r="BA39" s="54"/>
      <c r="BB39" s="56" t="str">
        <f>IF(BD38=1,"Closed Alert: "&amp;BC38,IF(BC38="","", "Open Alert: "&amp;BC38))</f>
        <v>Open Alert: New Sales Opportunity</v>
      </c>
      <c r="BC39" s="54"/>
      <c r="BD39" s="54"/>
      <c r="BE39" s="56" t="str">
        <f>IF(BE38="","",BE38)</f>
        <v/>
      </c>
      <c r="BF39" s="56" t="str">
        <f>IF(BF38="","",BF38)</f>
        <v>2023 NISSAN Altima 2.5 S FWD</v>
      </c>
      <c r="BG39" s="56" t="str">
        <f t="shared" ref="BG39:BG69" si="94">IF(BH38="","","  ["&amp;BG38&amp;": "&amp;BH38&amp;"]")</f>
        <v/>
      </c>
      <c r="BH39" s="54"/>
      <c r="BI39" s="56" t="str">
        <f t="shared" ref="BI39:BI69" si="95">IF(BJ38="","","  ["&amp;BI38&amp;": "&amp;BJ38&amp;"]")</f>
        <v/>
      </c>
      <c r="BJ39" s="54"/>
    </row>
    <row r="40" spans="1:62" s="23" customFormat="1" ht="46.5" customHeight="1" thickTop="1" x14ac:dyDescent="0.25">
      <c r="A40" s="23" t="s">
        <v>257</v>
      </c>
      <c r="B40" s="34"/>
      <c r="C40" s="35">
        <v>408182820</v>
      </c>
      <c r="D40" s="36" t="str">
        <f>"""CallButtonSMI"","""",""Events"",""Event_Id"",""408182820"""</f>
        <v>"CallButtonSMI","","Events","Event_Id","408182820"</v>
      </c>
      <c r="E40" s="48">
        <v>45430.516516203701</v>
      </c>
      <c r="F40" s="49">
        <v>45430.558182873698</v>
      </c>
      <c r="G40" s="50">
        <v>1.65</v>
      </c>
      <c r="H40" s="51" t="s">
        <v>1327</v>
      </c>
      <c r="I40" s="51" t="s">
        <v>1348</v>
      </c>
      <c r="J40" s="51" t="str">
        <f t="shared" ref="J40:J69" si="96">IF($C40="","",IF(AO40="",AN40,AN40&amp;" "&amp;AO40))</f>
        <v>864-553-3835</v>
      </c>
      <c r="K40" s="51" t="s">
        <v>1318</v>
      </c>
      <c r="L40" s="51" t="s">
        <v>1344</v>
      </c>
      <c r="M40" s="51" t="s">
        <v>1325</v>
      </c>
      <c r="N40" s="65" t="str">
        <f t="shared" ref="N40:N69" si="97">BF41</f>
        <v xml:space="preserve"> NISSAN Pathfinder ;NISSAN Armada</v>
      </c>
      <c r="O40" s="65" t="str">
        <f t="shared" ref="O40:O69" si="98">BE41</f>
        <v/>
      </c>
      <c r="P40" s="65" t="str">
        <f t="shared" ref="P40:P69" si="99">BB41</f>
        <v>Open Alert: New Sales Opportunity</v>
      </c>
      <c r="Q40" s="51"/>
      <c r="R40" s="46" t="str">
        <f t="shared" ref="R40:R69" si="100">IF($C40="","",IF($Y40="","",HYPERLINK($Y40,"(")))</f>
        <v>(</v>
      </c>
      <c r="S40" s="33"/>
      <c r="T40" s="37"/>
      <c r="U40" s="33"/>
      <c r="V40" s="11"/>
      <c r="W40" s="11"/>
      <c r="X40" s="12"/>
      <c r="Y40" s="13" t="str">
        <f t="shared" ref="Y40:Y69" si="101">IF($Z40="","",IF(LEFT($Z40,4)="http",$Z40,"http://"&amp;$Z40))</f>
        <v>http://prodcommsstorage.blob.core.windows.net/2024/0518/REcd8ddf1d70d3655bcbd4ceb21cb25a6a.mp3</v>
      </c>
      <c r="Z40" s="23" t="str">
        <f>"prodcommsstorage.blob.core.windows.net/2024/0518/REcd8ddf1d70d3655bcbd4ceb21cb25a6a.mp3"</f>
        <v>prodcommsstorage.blob.core.windows.net/2024/0518/REcd8ddf1d70d3655bcbd4ceb21cb25a6a.mp3</v>
      </c>
      <c r="AC40" s="23" t="s">
        <v>1291</v>
      </c>
      <c r="AD40" s="23">
        <f t="shared" ref="AD40" si="102">IF(AC40="ET",0.04166667,IF(AC40="MT",-0.04166667,IF(AC40="PT",-0.08333333,0)))</f>
        <v>4.1666670000000003E-2</v>
      </c>
      <c r="AE40" s="27"/>
      <c r="AF40" s="27"/>
      <c r="AG40" s="27"/>
      <c r="AH40" s="28"/>
      <c r="AI40" s="28"/>
      <c r="AJ40" s="28"/>
      <c r="AK40" s="28"/>
      <c r="AL40" s="27"/>
      <c r="AM40" s="19"/>
      <c r="AN40" s="18" t="str">
        <f>"864-553-3835"</f>
        <v>864-553-3835</v>
      </c>
      <c r="AO40" s="18"/>
      <c r="AP40" s="33">
        <v>1</v>
      </c>
      <c r="AQ40" s="18" t="str">
        <f>"JENNY CRUZ"</f>
        <v>JENNY CRUZ</v>
      </c>
      <c r="AR40" s="23">
        <f t="shared" ref="AR40:AR69" si="103">C40</f>
        <v>408182820</v>
      </c>
      <c r="AT40" s="14"/>
      <c r="AU40" s="14"/>
      <c r="AV40" s="14"/>
      <c r="AW40" s="14"/>
      <c r="AX40" s="14"/>
      <c r="AY40" s="14"/>
      <c r="AZ40" s="58" t="str">
        <f>"JENNY CRUZ"</f>
        <v>JENNY CRUZ</v>
      </c>
      <c r="BA40" s="58">
        <v>11</v>
      </c>
      <c r="BB40" s="58">
        <v>1</v>
      </c>
      <c r="BC40" s="58" t="s">
        <v>1385</v>
      </c>
      <c r="BD40" s="58"/>
      <c r="BE40" s="59"/>
      <c r="BF40" s="59" t="str">
        <f>" NISSAN Pathfinder ;NISSAN Armada"</f>
        <v xml:space="preserve"> NISSAN Pathfinder ;NISSAN Armada</v>
      </c>
      <c r="BG40" s="59" t="s">
        <v>1289</v>
      </c>
      <c r="BH40" s="58"/>
      <c r="BI40" s="59" t="s">
        <v>1289</v>
      </c>
      <c r="BJ40" s="58"/>
    </row>
    <row r="41" spans="1:62" s="23" customFormat="1" ht="72.75" customHeight="1" thickBot="1" x14ac:dyDescent="0.3">
      <c r="A41" s="23" t="s">
        <v>257</v>
      </c>
      <c r="B41" s="34"/>
      <c r="C41" s="35"/>
      <c r="D41" s="36" t="str">
        <f>D40</f>
        <v>"CallButtonSMI","","Events","Event_Id","408182820"</v>
      </c>
      <c r="E41" s="89" t="s">
        <v>1349</v>
      </c>
      <c r="F41" s="90"/>
      <c r="G41" s="90"/>
      <c r="H41" s="90"/>
      <c r="I41" s="90"/>
      <c r="J41" s="90"/>
      <c r="K41" s="90"/>
      <c r="L41" s="90"/>
      <c r="M41" s="90"/>
      <c r="N41" s="90"/>
      <c r="O41" s="90"/>
      <c r="P41" s="90"/>
      <c r="Q41" s="91"/>
      <c r="R41" s="62" t="s">
        <v>55</v>
      </c>
      <c r="S41" s="29"/>
      <c r="U41" s="42"/>
      <c r="V41" s="11"/>
      <c r="W41" s="11"/>
      <c r="X41" s="12"/>
      <c r="Y41" s="13"/>
      <c r="AE41" s="29"/>
      <c r="AF41" s="29" t="s">
        <v>1301</v>
      </c>
      <c r="AG41" s="29"/>
      <c r="AH41" s="29"/>
      <c r="AI41" s="29"/>
      <c r="AJ41" s="29"/>
      <c r="AK41" s="29"/>
      <c r="AL41" s="29"/>
      <c r="AM41" s="38" t="str">
        <f t="shared" ref="AM41:AM69" si="104">IF(AM40="","","  [Dealer Response: "&amp;AM40&amp;"] ")</f>
        <v/>
      </c>
      <c r="AN41" s="33"/>
      <c r="AO41" s="33"/>
      <c r="AQ41" s="23" t="str">
        <f>IF(AQ40="","","  [Reverse Lookup Name: "&amp;AQ40&amp;"] ")</f>
        <v xml:space="preserve">  [Reverse Lookup Name: JENNY CRUZ] </v>
      </c>
      <c r="AR41" s="23" t="str">
        <f t="shared" ref="AR41:AR69" si="105">""&amp;AR40</f>
        <v>408182820</v>
      </c>
      <c r="AT41" s="14"/>
      <c r="AU41" s="14"/>
      <c r="AV41" s="14"/>
      <c r="AW41" s="14"/>
      <c r="AX41" s="14"/>
      <c r="AY41" s="14"/>
      <c r="AZ41" s="55" t="str">
        <f>BB41&amp;BE41&amp;"  "&amp;BG41&amp;"  "&amp;BI41</f>
        <v xml:space="preserve">Open Alert: New Sales Opportunity    </v>
      </c>
      <c r="BA41" s="54"/>
      <c r="BB41" s="56" t="str">
        <f>IF(BD40=1,"Closed Alert: "&amp;BC40,IF(BC40="","", "Open Alert: "&amp;BC40))</f>
        <v>Open Alert: New Sales Opportunity</v>
      </c>
      <c r="BC41" s="54"/>
      <c r="BD41" s="54"/>
      <c r="BE41" s="56" t="str">
        <f>IF(BE40="","",BE40)</f>
        <v/>
      </c>
      <c r="BF41" s="56" t="str">
        <f>IF(BF40="","",BF40)</f>
        <v xml:space="preserve"> NISSAN Pathfinder ;NISSAN Armada</v>
      </c>
      <c r="BG41" s="56" t="str">
        <f t="shared" ref="BG41:BG69" si="106">IF(BH40="","","  ["&amp;BG40&amp;": "&amp;BH40&amp;"]")</f>
        <v/>
      </c>
      <c r="BH41" s="54"/>
      <c r="BI41" s="56" t="str">
        <f t="shared" ref="BI41:BI69" si="107">IF(BJ40="","","  ["&amp;BI40&amp;": "&amp;BJ40&amp;"]")</f>
        <v/>
      </c>
      <c r="BJ41" s="54"/>
    </row>
    <row r="42" spans="1:62" s="23" customFormat="1" ht="46.5" customHeight="1" thickTop="1" x14ac:dyDescent="0.25">
      <c r="A42" s="23" t="s">
        <v>257</v>
      </c>
      <c r="B42" s="34"/>
      <c r="C42" s="35">
        <v>407328841</v>
      </c>
      <c r="D42" s="36" t="str">
        <f>"""CallButtonSMI"","""",""Events"",""Event_Id"",""407328841"""</f>
        <v>"CallButtonSMI","","Events","Event_Id","407328841"</v>
      </c>
      <c r="E42" s="48">
        <v>45427.418229166666</v>
      </c>
      <c r="F42" s="49">
        <v>45427.459895836662</v>
      </c>
      <c r="G42" s="50">
        <v>5.7333333333333334</v>
      </c>
      <c r="H42" s="51" t="s">
        <v>1327</v>
      </c>
      <c r="I42" s="51" t="s">
        <v>1350</v>
      </c>
      <c r="J42" s="51" t="str">
        <f t="shared" ref="J42:J69" si="108">IF($C42="","",IF(AO42="",AN42,AN42&amp;" "&amp;AO42))</f>
        <v>864-505-1386 864-505-1671</v>
      </c>
      <c r="K42" s="51" t="s">
        <v>1323</v>
      </c>
      <c r="L42" s="51" t="s">
        <v>1351</v>
      </c>
      <c r="M42" s="51" t="s">
        <v>1320</v>
      </c>
      <c r="N42" s="65" t="str">
        <f t="shared" ref="N42:N69" si="109">BF43</f>
        <v>silver 2023 NISSAN Frontier stock # A3543</v>
      </c>
      <c r="O42" s="65" t="str">
        <f t="shared" ref="O42:O69" si="110">BE43</f>
        <v/>
      </c>
      <c r="P42" s="65" t="str">
        <f t="shared" ref="P42:P69" si="111">BB43</f>
        <v>Open Alert: Used Sales Opportunity</v>
      </c>
      <c r="Q42" s="51"/>
      <c r="R42" s="46" t="str">
        <f t="shared" ref="R42:R69" si="112">IF($C42="","",IF($Y42="","",HYPERLINK($Y42,"(")))</f>
        <v>(</v>
      </c>
      <c r="S42" s="33"/>
      <c r="T42" s="37"/>
      <c r="U42" s="33"/>
      <c r="V42" s="11"/>
      <c r="W42" s="11"/>
      <c r="X42" s="12"/>
      <c r="Y42" s="13" t="str">
        <f t="shared" ref="Y42:Y69" si="113">IF($Z42="","",IF(LEFT($Z42,4)="http",$Z42,"http://"&amp;$Z42))</f>
        <v>http://prodcommsstorage.blob.core.windows.net/2024/0515/REa12b90cd5208148c4be2c1e85b18c13b.mp3</v>
      </c>
      <c r="Z42" s="23" t="str">
        <f>"prodcommsstorage.blob.core.windows.net/2024/0515/REa12b90cd5208148c4be2c1e85b18c13b.mp3"</f>
        <v>prodcommsstorage.blob.core.windows.net/2024/0515/REa12b90cd5208148c4be2c1e85b18c13b.mp3</v>
      </c>
      <c r="AC42" s="23" t="s">
        <v>1291</v>
      </c>
      <c r="AD42" s="23">
        <f t="shared" ref="AD42" si="114">IF(AC42="ET",0.04166667,IF(AC42="MT",-0.04166667,IF(AC42="PT",-0.08333333,0)))</f>
        <v>4.1666670000000003E-2</v>
      </c>
      <c r="AE42" s="27"/>
      <c r="AF42" s="27"/>
      <c r="AG42" s="27"/>
      <c r="AH42" s="28"/>
      <c r="AI42" s="28"/>
      <c r="AJ42" s="28"/>
      <c r="AK42" s="28"/>
      <c r="AL42" s="27"/>
      <c r="AM42" s="19"/>
      <c r="AN42" s="18" t="str">
        <f>"864-505-1386"</f>
        <v>864-505-1386</v>
      </c>
      <c r="AO42" s="18" t="str">
        <f>"864-505-1671"</f>
        <v>864-505-1671</v>
      </c>
      <c r="AP42" s="33">
        <v>1</v>
      </c>
      <c r="AQ42" s="18" t="str">
        <f>"EDWIN GARCIA"</f>
        <v>EDWIN GARCIA</v>
      </c>
      <c r="AR42" s="23">
        <f t="shared" ref="AR42:AR69" si="115">C42</f>
        <v>407328841</v>
      </c>
      <c r="AT42" s="14"/>
      <c r="AU42" s="14"/>
      <c r="AV42" s="14"/>
      <c r="AW42" s="14"/>
      <c r="AX42" s="14"/>
      <c r="AY42" s="14"/>
      <c r="AZ42" s="58" t="str">
        <f>"EDWIN GARCIA"</f>
        <v>EDWIN GARCIA</v>
      </c>
      <c r="BA42" s="58">
        <v>12</v>
      </c>
      <c r="BB42" s="58">
        <v>1</v>
      </c>
      <c r="BC42" s="58" t="s">
        <v>1384</v>
      </c>
      <c r="BD42" s="58"/>
      <c r="BE42" s="59"/>
      <c r="BF42" s="59" t="str">
        <f>"silver 2023 NISSAN Frontier stock # A3543"</f>
        <v>silver 2023 NISSAN Frontier stock # A3543</v>
      </c>
      <c r="BG42" s="59" t="s">
        <v>1289</v>
      </c>
      <c r="BH42" s="58"/>
      <c r="BI42" s="59" t="s">
        <v>1289</v>
      </c>
      <c r="BJ42" s="58"/>
    </row>
    <row r="43" spans="1:62" s="23" customFormat="1" ht="72.75" customHeight="1" thickBot="1" x14ac:dyDescent="0.3">
      <c r="A43" s="23" t="s">
        <v>257</v>
      </c>
      <c r="B43" s="34"/>
      <c r="C43" s="35"/>
      <c r="D43" s="36" t="str">
        <f>D42</f>
        <v>"CallButtonSMI","","Events","Event_Id","407328841"</v>
      </c>
      <c r="E43" s="89" t="s">
        <v>1352</v>
      </c>
      <c r="F43" s="90"/>
      <c r="G43" s="90"/>
      <c r="H43" s="90"/>
      <c r="I43" s="90"/>
      <c r="J43" s="90"/>
      <c r="K43" s="90"/>
      <c r="L43" s="90"/>
      <c r="M43" s="90"/>
      <c r="N43" s="90"/>
      <c r="O43" s="90"/>
      <c r="P43" s="90"/>
      <c r="Q43" s="91"/>
      <c r="R43" s="62" t="s">
        <v>55</v>
      </c>
      <c r="S43" s="29"/>
      <c r="U43" s="42"/>
      <c r="V43" s="11"/>
      <c r="W43" s="11"/>
      <c r="X43" s="12"/>
      <c r="Y43" s="13"/>
      <c r="AE43" s="29"/>
      <c r="AF43" s="29" t="s">
        <v>1302</v>
      </c>
      <c r="AG43" s="29"/>
      <c r="AH43" s="29"/>
      <c r="AI43" s="29"/>
      <c r="AJ43" s="29"/>
      <c r="AK43" s="29"/>
      <c r="AL43" s="29"/>
      <c r="AM43" s="38" t="str">
        <f t="shared" ref="AM43:AM69" si="116">IF(AM42="","","  [Dealer Response: "&amp;AM42&amp;"] ")</f>
        <v/>
      </c>
      <c r="AN43" s="33"/>
      <c r="AO43" s="33"/>
      <c r="AQ43" s="23" t="str">
        <f>IF(AQ42="","","  [Reverse Lookup Name: "&amp;AQ42&amp;"] ")</f>
        <v xml:space="preserve">  [Reverse Lookup Name: EDWIN GARCIA] </v>
      </c>
      <c r="AR43" s="23" t="str">
        <f t="shared" ref="AR43:AR69" si="117">""&amp;AR42</f>
        <v>407328841</v>
      </c>
      <c r="AT43" s="14"/>
      <c r="AU43" s="14"/>
      <c r="AV43" s="14"/>
      <c r="AW43" s="14"/>
      <c r="AX43" s="14"/>
      <c r="AY43" s="14"/>
      <c r="AZ43" s="55" t="str">
        <f>BB43&amp;BE43&amp;"  "&amp;BG43&amp;"  "&amp;BI43</f>
        <v xml:space="preserve">Open Alert: Used Sales Opportunity    </v>
      </c>
      <c r="BA43" s="54"/>
      <c r="BB43" s="56" t="str">
        <f>IF(BD42=1,"Closed Alert: "&amp;BC42,IF(BC42="","", "Open Alert: "&amp;BC42))</f>
        <v>Open Alert: Used Sales Opportunity</v>
      </c>
      <c r="BC43" s="54"/>
      <c r="BD43" s="54"/>
      <c r="BE43" s="56" t="str">
        <f>IF(BE42="","",BE42)</f>
        <v/>
      </c>
      <c r="BF43" s="56" t="str">
        <f>IF(BF42="","",BF42)</f>
        <v>silver 2023 NISSAN Frontier stock # A3543</v>
      </c>
      <c r="BG43" s="56" t="str">
        <f t="shared" ref="BG43:BG69" si="118">IF(BH42="","","  ["&amp;BG42&amp;": "&amp;BH42&amp;"]")</f>
        <v/>
      </c>
      <c r="BH43" s="54"/>
      <c r="BI43" s="56" t="str">
        <f t="shared" ref="BI43:BI69" si="119">IF(BJ42="","","  ["&amp;BI42&amp;": "&amp;BJ42&amp;"]")</f>
        <v/>
      </c>
      <c r="BJ43" s="54"/>
    </row>
    <row r="44" spans="1:62" s="23" customFormat="1" ht="46.5" customHeight="1" thickTop="1" x14ac:dyDescent="0.25">
      <c r="A44" s="23" t="s">
        <v>257</v>
      </c>
      <c r="B44" s="34"/>
      <c r="C44" s="35">
        <v>406565895</v>
      </c>
      <c r="D44" s="36" t="str">
        <f>"""CallButtonSMI"","""",""Events"",""Event_Id"",""406565895"""</f>
        <v>"CallButtonSMI","","Events","Event_Id","406565895"</v>
      </c>
      <c r="E44" s="48">
        <v>45423.606203703705</v>
      </c>
      <c r="F44" s="49">
        <v>45423.647870373701</v>
      </c>
      <c r="G44" s="50">
        <v>1.95</v>
      </c>
      <c r="H44" s="51" t="s">
        <v>1327</v>
      </c>
      <c r="I44" s="51" t="s">
        <v>1353</v>
      </c>
      <c r="J44" s="51" t="str">
        <f t="shared" ref="J44:J69" si="120">IF($C44="","",IF(AO44="",AN44,AN44&amp;" "&amp;AO44))</f>
        <v>864-494-2093  864-494-2090</v>
      </c>
      <c r="K44" s="51" t="s">
        <v>1318</v>
      </c>
      <c r="L44" s="51" t="s">
        <v>1354</v>
      </c>
      <c r="M44" s="51" t="s">
        <v>1325</v>
      </c>
      <c r="N44" s="65" t="str">
        <f t="shared" ref="N44:N69" si="121">BF45</f>
        <v>black/white brown interior NISSAN Pathfinder</v>
      </c>
      <c r="O44" s="65" t="str">
        <f t="shared" ref="O44:O69" si="122">BE45</f>
        <v/>
      </c>
      <c r="P44" s="65" t="str">
        <f t="shared" ref="P44:P69" si="123">BB45</f>
        <v>Open Alert: New Sales Opportunity</v>
      </c>
      <c r="Q44" s="51"/>
      <c r="R44" s="46" t="str">
        <f t="shared" ref="R44:R69" si="124">IF($C44="","",IF($Y44="","",HYPERLINK($Y44,"(")))</f>
        <v>(</v>
      </c>
      <c r="S44" s="33"/>
      <c r="T44" s="37"/>
      <c r="U44" s="33"/>
      <c r="V44" s="11"/>
      <c r="W44" s="11"/>
      <c r="X44" s="12"/>
      <c r="Y44" s="13" t="str">
        <f t="shared" ref="Y44:Y69" si="125">IF($Z44="","",IF(LEFT($Z44,4)="http",$Z44,"http://"&amp;$Z44))</f>
        <v>http://prodcommsstorage.blob.core.windows.net/2024/0511/REec3fe52b150f519ca45ad96fa549cf86.mp3</v>
      </c>
      <c r="Z44" s="23" t="str">
        <f>"prodcommsstorage.blob.core.windows.net/2024/0511/REec3fe52b150f519ca45ad96fa549cf86.mp3"</f>
        <v>prodcommsstorage.blob.core.windows.net/2024/0511/REec3fe52b150f519ca45ad96fa549cf86.mp3</v>
      </c>
      <c r="AC44" s="23" t="s">
        <v>1291</v>
      </c>
      <c r="AD44" s="23">
        <f t="shared" ref="AD44" si="126">IF(AC44="ET",0.04166667,IF(AC44="MT",-0.04166667,IF(AC44="PT",-0.08333333,0)))</f>
        <v>4.1666670000000003E-2</v>
      </c>
      <c r="AE44" s="27"/>
      <c r="AF44" s="27"/>
      <c r="AG44" s="27"/>
      <c r="AH44" s="28"/>
      <c r="AI44" s="28"/>
      <c r="AJ44" s="28"/>
      <c r="AK44" s="28"/>
      <c r="AL44" s="27"/>
      <c r="AM44" s="19"/>
      <c r="AN44" s="18" t="str">
        <f>"864-494-2093"</f>
        <v>864-494-2093</v>
      </c>
      <c r="AO44" s="18" t="str">
        <f>" 864-494-2090"</f>
        <v xml:space="preserve"> 864-494-2090</v>
      </c>
      <c r="AP44" s="33">
        <v>1</v>
      </c>
      <c r="AQ44" s="18" t="str">
        <f>"J LACEY"</f>
        <v>J LACEY</v>
      </c>
      <c r="AR44" s="23">
        <f t="shared" ref="AR44:AR69" si="127">C44</f>
        <v>406565895</v>
      </c>
      <c r="AT44" s="14"/>
      <c r="AU44" s="14"/>
      <c r="AV44" s="14"/>
      <c r="AW44" s="14"/>
      <c r="AX44" s="14"/>
      <c r="AY44" s="14"/>
      <c r="AZ44" s="58" t="str">
        <f>"J LACEY"</f>
        <v>J LACEY</v>
      </c>
      <c r="BA44" s="58">
        <v>11</v>
      </c>
      <c r="BB44" s="58">
        <v>1</v>
      </c>
      <c r="BC44" s="58" t="s">
        <v>1385</v>
      </c>
      <c r="BD44" s="58"/>
      <c r="BE44" s="59"/>
      <c r="BF44" s="59" t="str">
        <f>"black/white brown interior NISSAN Pathfinder"</f>
        <v>black/white brown interior NISSAN Pathfinder</v>
      </c>
      <c r="BG44" s="59" t="s">
        <v>1289</v>
      </c>
      <c r="BH44" s="58"/>
      <c r="BI44" s="59" t="s">
        <v>1289</v>
      </c>
      <c r="BJ44" s="58"/>
    </row>
    <row r="45" spans="1:62" s="23" customFormat="1" ht="72.75" customHeight="1" thickBot="1" x14ac:dyDescent="0.3">
      <c r="A45" s="23" t="s">
        <v>257</v>
      </c>
      <c r="B45" s="34"/>
      <c r="C45" s="35"/>
      <c r="D45" s="36" t="str">
        <f>D44</f>
        <v>"CallButtonSMI","","Events","Event_Id","406565895"</v>
      </c>
      <c r="E45" s="89" t="s">
        <v>1355</v>
      </c>
      <c r="F45" s="90"/>
      <c r="G45" s="90"/>
      <c r="H45" s="90"/>
      <c r="I45" s="90"/>
      <c r="J45" s="90"/>
      <c r="K45" s="90"/>
      <c r="L45" s="90"/>
      <c r="M45" s="90"/>
      <c r="N45" s="90"/>
      <c r="O45" s="90"/>
      <c r="P45" s="90"/>
      <c r="Q45" s="91"/>
      <c r="R45" s="62" t="s">
        <v>55</v>
      </c>
      <c r="S45" s="29"/>
      <c r="U45" s="42"/>
      <c r="V45" s="11"/>
      <c r="W45" s="11"/>
      <c r="X45" s="12"/>
      <c r="Y45" s="13"/>
      <c r="AE45" s="29"/>
      <c r="AF45" s="29" t="s">
        <v>1303</v>
      </c>
      <c r="AG45" s="29"/>
      <c r="AH45" s="29"/>
      <c r="AI45" s="29"/>
      <c r="AJ45" s="29"/>
      <c r="AK45" s="29"/>
      <c r="AL45" s="29"/>
      <c r="AM45" s="38" t="str">
        <f t="shared" ref="AM45:AM69" si="128">IF(AM44="","","  [Dealer Response: "&amp;AM44&amp;"] ")</f>
        <v/>
      </c>
      <c r="AN45" s="33"/>
      <c r="AO45" s="33"/>
      <c r="AQ45" s="23" t="str">
        <f>IF(AQ44="","","  [Reverse Lookup Name: "&amp;AQ44&amp;"] ")</f>
        <v xml:space="preserve">  [Reverse Lookup Name: J LACEY] </v>
      </c>
      <c r="AR45" s="23" t="str">
        <f t="shared" ref="AR45:AR69" si="129">""&amp;AR44</f>
        <v>406565895</v>
      </c>
      <c r="AT45" s="14"/>
      <c r="AU45" s="14"/>
      <c r="AV45" s="14"/>
      <c r="AW45" s="14"/>
      <c r="AX45" s="14"/>
      <c r="AY45" s="14"/>
      <c r="AZ45" s="55" t="str">
        <f>BB45&amp;BE45&amp;"  "&amp;BG45&amp;"  "&amp;BI45</f>
        <v xml:space="preserve">Open Alert: New Sales Opportunity    </v>
      </c>
      <c r="BA45" s="54"/>
      <c r="BB45" s="56" t="str">
        <f>IF(BD44=1,"Closed Alert: "&amp;BC44,IF(BC44="","", "Open Alert: "&amp;BC44))</f>
        <v>Open Alert: New Sales Opportunity</v>
      </c>
      <c r="BC45" s="54"/>
      <c r="BD45" s="54"/>
      <c r="BE45" s="56" t="str">
        <f>IF(BE44="","",BE44)</f>
        <v/>
      </c>
      <c r="BF45" s="56" t="str">
        <f>IF(BF44="","",BF44)</f>
        <v>black/white brown interior NISSAN Pathfinder</v>
      </c>
      <c r="BG45" s="56" t="str">
        <f t="shared" ref="BG45:BG69" si="130">IF(BH44="","","  ["&amp;BG44&amp;": "&amp;BH44&amp;"]")</f>
        <v/>
      </c>
      <c r="BH45" s="54"/>
      <c r="BI45" s="56" t="str">
        <f t="shared" ref="BI45:BI69" si="131">IF(BJ44="","","  ["&amp;BI44&amp;": "&amp;BJ44&amp;"]")</f>
        <v/>
      </c>
      <c r="BJ45" s="54"/>
    </row>
    <row r="46" spans="1:62" s="23" customFormat="1" ht="46.5" customHeight="1" thickTop="1" x14ac:dyDescent="0.25">
      <c r="A46" s="23" t="s">
        <v>257</v>
      </c>
      <c r="B46" s="34"/>
      <c r="C46" s="35">
        <v>407451730</v>
      </c>
      <c r="D46" s="36" t="str">
        <f>"""CallButtonSMI"","""",""Events"",""Event_Id"",""407451730"""</f>
        <v>"CallButtonSMI","","Events","Event_Id","407451730"</v>
      </c>
      <c r="E46" s="48">
        <v>45427.584178240744</v>
      </c>
      <c r="F46" s="49">
        <v>45427.625844910741</v>
      </c>
      <c r="G46" s="50">
        <v>11.566666666666666</v>
      </c>
      <c r="H46" s="51" t="s">
        <v>1327</v>
      </c>
      <c r="I46" s="51" t="s">
        <v>1356</v>
      </c>
      <c r="J46" s="51" t="str">
        <f t="shared" ref="J46:J69" si="132">IF($C46="","",IF(AO46="",AN46,AN46&amp;" "&amp;AO46))</f>
        <v>256-626-9873 256-626-9873</v>
      </c>
      <c r="K46" s="51" t="s">
        <v>1323</v>
      </c>
      <c r="L46" s="51" t="s">
        <v>1354</v>
      </c>
      <c r="M46" s="51" t="s">
        <v>1320</v>
      </c>
      <c r="N46" s="65" t="str">
        <f t="shared" ref="N46:N69" si="133">BF47</f>
        <v>2023 NISSAN Altima</v>
      </c>
      <c r="O46" s="65" t="str">
        <f t="shared" ref="O46:O69" si="134">BE47</f>
        <v/>
      </c>
      <c r="P46" s="65" t="str">
        <f t="shared" ref="P46:P69" si="135">BB47</f>
        <v>Open Alert: Used Sales Opportunity</v>
      </c>
      <c r="Q46" s="51"/>
      <c r="R46" s="46" t="str">
        <f t="shared" ref="R46:R69" si="136">IF($C46="","",IF($Y46="","",HYPERLINK($Y46,"(")))</f>
        <v>(</v>
      </c>
      <c r="S46" s="33"/>
      <c r="T46" s="37"/>
      <c r="U46" s="33"/>
      <c r="V46" s="11"/>
      <c r="W46" s="11"/>
      <c r="X46" s="12"/>
      <c r="Y46" s="13" t="str">
        <f t="shared" ref="Y46:Y69" si="137">IF($Z46="","",IF(LEFT($Z46,4)="http",$Z46,"http://"&amp;$Z46))</f>
        <v>http://prodcommsstorage.blob.core.windows.net/2024/0515/RE5f6f2fdf6ee8cd5ab8b8ef1544a72eb7.mp3</v>
      </c>
      <c r="Z46" s="23" t="str">
        <f>"prodcommsstorage.blob.core.windows.net/2024/0515/RE5f6f2fdf6ee8cd5ab8b8ef1544a72eb7.mp3"</f>
        <v>prodcommsstorage.blob.core.windows.net/2024/0515/RE5f6f2fdf6ee8cd5ab8b8ef1544a72eb7.mp3</v>
      </c>
      <c r="AC46" s="23" t="s">
        <v>1291</v>
      </c>
      <c r="AD46" s="23">
        <f t="shared" ref="AD46" si="138">IF(AC46="ET",0.04166667,IF(AC46="MT",-0.04166667,IF(AC46="PT",-0.08333333,0)))</f>
        <v>4.1666670000000003E-2</v>
      </c>
      <c r="AE46" s="27"/>
      <c r="AF46" s="27"/>
      <c r="AG46" s="27"/>
      <c r="AH46" s="28"/>
      <c r="AI46" s="28"/>
      <c r="AJ46" s="28"/>
      <c r="AK46" s="28"/>
      <c r="AL46" s="27"/>
      <c r="AM46" s="19"/>
      <c r="AN46" s="18" t="str">
        <f>"256-626-9873"</f>
        <v>256-626-9873</v>
      </c>
      <c r="AO46" s="18" t="str">
        <f>"256-626-9873"</f>
        <v>256-626-9873</v>
      </c>
      <c r="AP46" s="33">
        <v>1</v>
      </c>
      <c r="AQ46" s="18" t="str">
        <f>"TIA MORRIS"</f>
        <v>TIA MORRIS</v>
      </c>
      <c r="AR46" s="23">
        <f t="shared" ref="AR46:AR69" si="139">C46</f>
        <v>407451730</v>
      </c>
      <c r="AT46" s="14"/>
      <c r="AU46" s="14"/>
      <c r="AV46" s="14"/>
      <c r="AW46" s="14"/>
      <c r="AX46" s="14"/>
      <c r="AY46" s="14"/>
      <c r="AZ46" s="58" t="str">
        <f>"TIA MORRIS"</f>
        <v>TIA MORRIS</v>
      </c>
      <c r="BA46" s="58">
        <v>12</v>
      </c>
      <c r="BB46" s="58">
        <v>1</v>
      </c>
      <c r="BC46" s="58" t="s">
        <v>1384</v>
      </c>
      <c r="BD46" s="58"/>
      <c r="BE46" s="59"/>
      <c r="BF46" s="59" t="str">
        <f>"2023 NISSAN Altima"</f>
        <v>2023 NISSAN Altima</v>
      </c>
      <c r="BG46" s="59" t="s">
        <v>1289</v>
      </c>
      <c r="BH46" s="58"/>
      <c r="BI46" s="59" t="s">
        <v>1289</v>
      </c>
      <c r="BJ46" s="58"/>
    </row>
    <row r="47" spans="1:62" s="23" customFormat="1" ht="72.75" customHeight="1" thickBot="1" x14ac:dyDescent="0.3">
      <c r="A47" s="23" t="s">
        <v>257</v>
      </c>
      <c r="B47" s="34"/>
      <c r="C47" s="35"/>
      <c r="D47" s="36" t="str">
        <f>D46</f>
        <v>"CallButtonSMI","","Events","Event_Id","407451730"</v>
      </c>
      <c r="E47" s="89" t="s">
        <v>1357</v>
      </c>
      <c r="F47" s="90"/>
      <c r="G47" s="90"/>
      <c r="H47" s="90"/>
      <c r="I47" s="90"/>
      <c r="J47" s="90"/>
      <c r="K47" s="90"/>
      <c r="L47" s="90"/>
      <c r="M47" s="90"/>
      <c r="N47" s="90"/>
      <c r="O47" s="90"/>
      <c r="P47" s="90"/>
      <c r="Q47" s="91"/>
      <c r="R47" s="62" t="s">
        <v>55</v>
      </c>
      <c r="S47" s="29"/>
      <c r="U47" s="42"/>
      <c r="V47" s="11"/>
      <c r="W47" s="11"/>
      <c r="X47" s="12"/>
      <c r="Y47" s="13"/>
      <c r="AE47" s="29"/>
      <c r="AF47" s="29" t="s">
        <v>1304</v>
      </c>
      <c r="AG47" s="29"/>
      <c r="AH47" s="29"/>
      <c r="AI47" s="29"/>
      <c r="AJ47" s="29"/>
      <c r="AK47" s="29"/>
      <c r="AL47" s="29"/>
      <c r="AM47" s="38" t="str">
        <f t="shared" ref="AM47:AM69" si="140">IF(AM46="","","  [Dealer Response: "&amp;AM46&amp;"] ")</f>
        <v/>
      </c>
      <c r="AN47" s="33"/>
      <c r="AO47" s="33"/>
      <c r="AQ47" s="23" t="str">
        <f>IF(AQ46="","","  [Reverse Lookup Name: "&amp;AQ46&amp;"] ")</f>
        <v xml:space="preserve">  [Reverse Lookup Name: TIA MORRIS] </v>
      </c>
      <c r="AR47" s="23" t="str">
        <f t="shared" ref="AR47:AR69" si="141">""&amp;AR46</f>
        <v>407451730</v>
      </c>
      <c r="AT47" s="14"/>
      <c r="AU47" s="14"/>
      <c r="AV47" s="14"/>
      <c r="AW47" s="14"/>
      <c r="AX47" s="14"/>
      <c r="AY47" s="14"/>
      <c r="AZ47" s="55" t="str">
        <f>BB47&amp;BE47&amp;"  "&amp;BG47&amp;"  "&amp;BI47</f>
        <v xml:space="preserve">Open Alert: Used Sales Opportunity    </v>
      </c>
      <c r="BA47" s="54"/>
      <c r="BB47" s="56" t="str">
        <f>IF(BD46=1,"Closed Alert: "&amp;BC46,IF(BC46="","", "Open Alert: "&amp;BC46))</f>
        <v>Open Alert: Used Sales Opportunity</v>
      </c>
      <c r="BC47" s="54"/>
      <c r="BD47" s="54"/>
      <c r="BE47" s="56" t="str">
        <f>IF(BE46="","",BE46)</f>
        <v/>
      </c>
      <c r="BF47" s="56" t="str">
        <f>IF(BF46="","",BF46)</f>
        <v>2023 NISSAN Altima</v>
      </c>
      <c r="BG47" s="56" t="str">
        <f t="shared" ref="BG47:BG69" si="142">IF(BH46="","","  ["&amp;BG46&amp;": "&amp;BH46&amp;"]")</f>
        <v/>
      </c>
      <c r="BH47" s="54"/>
      <c r="BI47" s="56" t="str">
        <f t="shared" ref="BI47:BI69" si="143">IF(BJ46="","","  ["&amp;BI46&amp;": "&amp;BJ46&amp;"]")</f>
        <v/>
      </c>
      <c r="BJ47" s="54"/>
    </row>
    <row r="48" spans="1:62" s="23" customFormat="1" ht="46.5" customHeight="1" thickTop="1" x14ac:dyDescent="0.25">
      <c r="A48" s="23" t="s">
        <v>257</v>
      </c>
      <c r="B48" s="34"/>
      <c r="C48" s="35">
        <v>405672351</v>
      </c>
      <c r="D48" s="36" t="str">
        <f>"""CallButtonSMI"","""",""Events"",""Event_Id"",""405672351"""</f>
        <v>"CallButtonSMI","","Events","Event_Id","405672351"</v>
      </c>
      <c r="E48" s="48">
        <v>45420.378900462965</v>
      </c>
      <c r="F48" s="49">
        <v>45420.420567132962</v>
      </c>
      <c r="G48" s="50">
        <v>3.85</v>
      </c>
      <c r="H48" s="51" t="s">
        <v>1316</v>
      </c>
      <c r="I48" s="51" t="s">
        <v>1358</v>
      </c>
      <c r="J48" s="51" t="str">
        <f t="shared" ref="J48:J69" si="144">IF($C48="","",IF(AO48="",AN48,AN48&amp;" "&amp;AO48))</f>
        <v>800-453-4440 864-327-2730</v>
      </c>
      <c r="K48" s="51" t="s">
        <v>1323</v>
      </c>
      <c r="L48" s="51" t="s">
        <v>1359</v>
      </c>
      <c r="M48" s="51" t="s">
        <v>1320</v>
      </c>
      <c r="N48" s="65" t="str">
        <f t="shared" ref="N48:N69" si="145">BF49</f>
        <v>Blue/White 2009-2012 NISSAN Altima FWD</v>
      </c>
      <c r="O48" s="65" t="str">
        <f t="shared" ref="O48:O69" si="146">BE49</f>
        <v/>
      </c>
      <c r="P48" s="65" t="str">
        <f t="shared" ref="P48:P69" si="147">BB49</f>
        <v>Open Alert: Used Sales Opportunity</v>
      </c>
      <c r="Q48" s="51"/>
      <c r="R48" s="46" t="str">
        <f t="shared" ref="R48:R69" si="148">IF($C48="","",IF($Y48="","",HYPERLINK($Y48,"(")))</f>
        <v>(</v>
      </c>
      <c r="S48" s="33"/>
      <c r="T48" s="37"/>
      <c r="U48" s="33"/>
      <c r="V48" s="11"/>
      <c r="W48" s="11"/>
      <c r="X48" s="12"/>
      <c r="Y48" s="13" t="str">
        <f t="shared" ref="Y48:Y69" si="149">IF($Z48="","",IF(LEFT($Z48,4)="http",$Z48,"http://"&amp;$Z48))</f>
        <v>http://prodcommsstorage.blob.core.windows.net/2024/0508/RE61f87c1ffc32db52714d38ba08f3c745.mp3</v>
      </c>
      <c r="Z48" s="23" t="str">
        <f>"prodcommsstorage.blob.core.windows.net/2024/0508/RE61f87c1ffc32db52714d38ba08f3c745.mp3"</f>
        <v>prodcommsstorage.blob.core.windows.net/2024/0508/RE61f87c1ffc32db52714d38ba08f3c745.mp3</v>
      </c>
      <c r="AC48" s="23" t="s">
        <v>1291</v>
      </c>
      <c r="AD48" s="23">
        <f t="shared" ref="AD48" si="150">IF(AC48="ET",0.04166667,IF(AC48="MT",-0.04166667,IF(AC48="PT",-0.08333333,0)))</f>
        <v>4.1666670000000003E-2</v>
      </c>
      <c r="AE48" s="27"/>
      <c r="AF48" s="27"/>
      <c r="AG48" s="27"/>
      <c r="AH48" s="28"/>
      <c r="AI48" s="28"/>
      <c r="AJ48" s="28"/>
      <c r="AK48" s="28"/>
      <c r="AL48" s="27"/>
      <c r="AM48" s="19"/>
      <c r="AN48" s="18" t="str">
        <f>"800-453-4440"</f>
        <v>800-453-4440</v>
      </c>
      <c r="AO48" s="18" t="str">
        <f>"864-327-2730"</f>
        <v>864-327-2730</v>
      </c>
      <c r="AP48" s="33">
        <v>1</v>
      </c>
      <c r="AQ48" s="18" t="str">
        <f>"CALLER"</f>
        <v>CALLER</v>
      </c>
      <c r="AR48" s="23">
        <f t="shared" ref="AR48:AR69" si="151">C48</f>
        <v>405672351</v>
      </c>
      <c r="AT48" s="14"/>
      <c r="AU48" s="14"/>
      <c r="AV48" s="14"/>
      <c r="AW48" s="14"/>
      <c r="AX48" s="14"/>
      <c r="AY48" s="14"/>
      <c r="AZ48" s="58" t="str">
        <f>"CALLER"</f>
        <v>CALLER</v>
      </c>
      <c r="BA48" s="58">
        <v>12</v>
      </c>
      <c r="BB48" s="58">
        <v>1</v>
      </c>
      <c r="BC48" s="58" t="s">
        <v>1384</v>
      </c>
      <c r="BD48" s="58"/>
      <c r="BE48" s="59"/>
      <c r="BF48" s="59" t="str">
        <f>"Blue/White 2009-2012 NISSAN Altima FWD"</f>
        <v>Blue/White 2009-2012 NISSAN Altima FWD</v>
      </c>
      <c r="BG48" s="59" t="s">
        <v>1289</v>
      </c>
      <c r="BH48" s="58"/>
      <c r="BI48" s="59" t="s">
        <v>1289</v>
      </c>
      <c r="BJ48" s="58"/>
    </row>
    <row r="49" spans="1:62" s="23" customFormat="1" ht="72.75" customHeight="1" thickBot="1" x14ac:dyDescent="0.3">
      <c r="A49" s="23" t="s">
        <v>257</v>
      </c>
      <c r="B49" s="34"/>
      <c r="C49" s="35"/>
      <c r="D49" s="36" t="str">
        <f>D48</f>
        <v>"CallButtonSMI","","Events","Event_Id","405672351"</v>
      </c>
      <c r="E49" s="89" t="s">
        <v>1360</v>
      </c>
      <c r="F49" s="90"/>
      <c r="G49" s="90"/>
      <c r="H49" s="90"/>
      <c r="I49" s="90"/>
      <c r="J49" s="90"/>
      <c r="K49" s="90"/>
      <c r="L49" s="90"/>
      <c r="M49" s="90"/>
      <c r="N49" s="90"/>
      <c r="O49" s="90"/>
      <c r="P49" s="90"/>
      <c r="Q49" s="91"/>
      <c r="R49" s="62" t="s">
        <v>55</v>
      </c>
      <c r="S49" s="29"/>
      <c r="U49" s="42"/>
      <c r="V49" s="11"/>
      <c r="W49" s="11"/>
      <c r="X49" s="12"/>
      <c r="Y49" s="13"/>
      <c r="AE49" s="29"/>
      <c r="AF49" s="29" t="s">
        <v>1305</v>
      </c>
      <c r="AG49" s="29"/>
      <c r="AH49" s="29"/>
      <c r="AI49" s="29"/>
      <c r="AJ49" s="29"/>
      <c r="AK49" s="29"/>
      <c r="AL49" s="29"/>
      <c r="AM49" s="38" t="str">
        <f t="shared" ref="AM49:AM69" si="152">IF(AM48="","","  [Dealer Response: "&amp;AM48&amp;"] ")</f>
        <v/>
      </c>
      <c r="AN49" s="33"/>
      <c r="AO49" s="33"/>
      <c r="AQ49" s="23" t="str">
        <f>IF(AQ48="","","  [Reverse Lookup Name: "&amp;AQ48&amp;"] ")</f>
        <v xml:space="preserve">  [Reverse Lookup Name: CALLER] </v>
      </c>
      <c r="AR49" s="23" t="str">
        <f t="shared" ref="AR49:AR69" si="153">""&amp;AR48</f>
        <v>405672351</v>
      </c>
      <c r="AT49" s="14"/>
      <c r="AU49" s="14"/>
      <c r="AV49" s="14"/>
      <c r="AW49" s="14"/>
      <c r="AX49" s="14"/>
      <c r="AY49" s="14"/>
      <c r="AZ49" s="55" t="str">
        <f>BB49&amp;BE49&amp;"  "&amp;BG49&amp;"  "&amp;BI49</f>
        <v xml:space="preserve">Open Alert: Used Sales Opportunity    </v>
      </c>
      <c r="BA49" s="54"/>
      <c r="BB49" s="56" t="str">
        <f>IF(BD48=1,"Closed Alert: "&amp;BC48,IF(BC48="","", "Open Alert: "&amp;BC48))</f>
        <v>Open Alert: Used Sales Opportunity</v>
      </c>
      <c r="BC49" s="54"/>
      <c r="BD49" s="54"/>
      <c r="BE49" s="56" t="str">
        <f>IF(BE48="","",BE48)</f>
        <v/>
      </c>
      <c r="BF49" s="56" t="str">
        <f>IF(BF48="","",BF48)</f>
        <v>Blue/White 2009-2012 NISSAN Altima FWD</v>
      </c>
      <c r="BG49" s="56" t="str">
        <f t="shared" ref="BG49:BG69" si="154">IF(BH48="","","  ["&amp;BG48&amp;": "&amp;BH48&amp;"]")</f>
        <v/>
      </c>
      <c r="BH49" s="54"/>
      <c r="BI49" s="56" t="str">
        <f t="shared" ref="BI49:BI69" si="155">IF(BJ48="","","  ["&amp;BI48&amp;": "&amp;BJ48&amp;"]")</f>
        <v/>
      </c>
      <c r="BJ49" s="54"/>
    </row>
    <row r="50" spans="1:62" s="23" customFormat="1" ht="46.5" customHeight="1" thickTop="1" x14ac:dyDescent="0.25">
      <c r="A50" s="23" t="s">
        <v>257</v>
      </c>
      <c r="B50" s="34"/>
      <c r="C50" s="35">
        <v>409283320</v>
      </c>
      <c r="D50" s="36" t="str">
        <f>"""CallButtonSMI"","""",""Events"",""Event_Id"",""409283320"""</f>
        <v>"CallButtonSMI","","Events","Event_Id","409283320"</v>
      </c>
      <c r="E50" s="48">
        <v>45435.362210648149</v>
      </c>
      <c r="F50" s="49">
        <v>45435.403877318146</v>
      </c>
      <c r="G50" s="50">
        <v>6.7</v>
      </c>
      <c r="H50" s="51" t="s">
        <v>1316</v>
      </c>
      <c r="I50" s="51" t="s">
        <v>1361</v>
      </c>
      <c r="J50" s="51" t="str">
        <f t="shared" ref="J50:J69" si="156">IF($C50="","",IF(AO50="",AN50,AN50&amp;" "&amp;AO50))</f>
        <v>914-643-9196</v>
      </c>
      <c r="K50" s="51" t="s">
        <v>1323</v>
      </c>
      <c r="L50" s="51" t="s">
        <v>1362</v>
      </c>
      <c r="M50" s="51" t="s">
        <v>1325</v>
      </c>
      <c r="N50" s="65" t="str">
        <f t="shared" ref="N50:N69" si="157">BF51</f>
        <v xml:space="preserve"> NISSAN Rogue SV Premium</v>
      </c>
      <c r="O50" s="65" t="str">
        <f t="shared" ref="O50:O69" si="158">BE51</f>
        <v/>
      </c>
      <c r="P50" s="65" t="str">
        <f t="shared" ref="P50:P69" si="159">BB51</f>
        <v>Open Alert: New Sales Opportunity</v>
      </c>
      <c r="Q50" s="51"/>
      <c r="R50" s="46" t="str">
        <f t="shared" ref="R50:R69" si="160">IF($C50="","",IF($Y50="","",HYPERLINK($Y50,"(")))</f>
        <v>(</v>
      </c>
      <c r="S50" s="33"/>
      <c r="T50" s="37"/>
      <c r="U50" s="33"/>
      <c r="V50" s="11"/>
      <c r="W50" s="11"/>
      <c r="X50" s="12"/>
      <c r="Y50" s="13" t="str">
        <f t="shared" ref="Y50:Y69" si="161">IF($Z50="","",IF(LEFT($Z50,4)="http",$Z50,"http://"&amp;$Z50))</f>
        <v>http://prodcommsstorage.blob.core.windows.net/2024/0523/RE146072e6d17c96389f43c69b9e67b42d.mp3</v>
      </c>
      <c r="Z50" s="23" t="str">
        <f>"prodcommsstorage.blob.core.windows.net/2024/0523/RE146072e6d17c96389f43c69b9e67b42d.mp3"</f>
        <v>prodcommsstorage.blob.core.windows.net/2024/0523/RE146072e6d17c96389f43c69b9e67b42d.mp3</v>
      </c>
      <c r="AC50" s="23" t="s">
        <v>1291</v>
      </c>
      <c r="AD50" s="23">
        <f t="shared" ref="AD50" si="162">IF(AC50="ET",0.04166667,IF(AC50="MT",-0.04166667,IF(AC50="PT",-0.08333333,0)))</f>
        <v>4.1666670000000003E-2</v>
      </c>
      <c r="AE50" s="27"/>
      <c r="AF50" s="27"/>
      <c r="AG50" s="27"/>
      <c r="AH50" s="28"/>
      <c r="AI50" s="28"/>
      <c r="AJ50" s="28"/>
      <c r="AK50" s="28"/>
      <c r="AL50" s="27"/>
      <c r="AM50" s="19"/>
      <c r="AN50" s="18" t="str">
        <f>"914-643-9196"</f>
        <v>914-643-9196</v>
      </c>
      <c r="AO50" s="18"/>
      <c r="AP50" s="33">
        <v>1</v>
      </c>
      <c r="AQ50" s="18" t="str">
        <f>"DANIELL SANTINI"</f>
        <v>DANIELL SANTINI</v>
      </c>
      <c r="AR50" s="23">
        <f t="shared" ref="AR50:AR69" si="163">C50</f>
        <v>409283320</v>
      </c>
      <c r="AT50" s="14"/>
      <c r="AU50" s="14"/>
      <c r="AV50" s="14"/>
      <c r="AW50" s="14"/>
      <c r="AX50" s="14"/>
      <c r="AY50" s="14"/>
      <c r="AZ50" s="58" t="str">
        <f>"DANIELL SANTINI"</f>
        <v>DANIELL SANTINI</v>
      </c>
      <c r="BA50" s="58">
        <v>11</v>
      </c>
      <c r="BB50" s="58">
        <v>1</v>
      </c>
      <c r="BC50" s="58" t="s">
        <v>1385</v>
      </c>
      <c r="BD50" s="58"/>
      <c r="BE50" s="59"/>
      <c r="BF50" s="59" t="str">
        <f>" NISSAN Rogue SV Premium"</f>
        <v xml:space="preserve"> NISSAN Rogue SV Premium</v>
      </c>
      <c r="BG50" s="59" t="s">
        <v>1289</v>
      </c>
      <c r="BH50" s="58"/>
      <c r="BI50" s="59" t="s">
        <v>1289</v>
      </c>
      <c r="BJ50" s="58"/>
    </row>
    <row r="51" spans="1:62" s="23" customFormat="1" ht="72.75" customHeight="1" thickBot="1" x14ac:dyDescent="0.3">
      <c r="A51" s="23" t="s">
        <v>257</v>
      </c>
      <c r="B51" s="34"/>
      <c r="C51" s="35"/>
      <c r="D51" s="36" t="str">
        <f>D50</f>
        <v>"CallButtonSMI","","Events","Event_Id","409283320"</v>
      </c>
      <c r="E51" s="89" t="s">
        <v>1363</v>
      </c>
      <c r="F51" s="90"/>
      <c r="G51" s="90"/>
      <c r="H51" s="90"/>
      <c r="I51" s="90"/>
      <c r="J51" s="90"/>
      <c r="K51" s="90"/>
      <c r="L51" s="90"/>
      <c r="M51" s="90"/>
      <c r="N51" s="90"/>
      <c r="O51" s="90"/>
      <c r="P51" s="90"/>
      <c r="Q51" s="91"/>
      <c r="R51" s="62" t="s">
        <v>55</v>
      </c>
      <c r="S51" s="29"/>
      <c r="U51" s="42"/>
      <c r="V51" s="11"/>
      <c r="W51" s="11"/>
      <c r="X51" s="12"/>
      <c r="Y51" s="13"/>
      <c r="AE51" s="29"/>
      <c r="AF51" s="29" t="s">
        <v>1306</v>
      </c>
      <c r="AG51" s="29"/>
      <c r="AH51" s="29"/>
      <c r="AI51" s="29"/>
      <c r="AJ51" s="29"/>
      <c r="AK51" s="29"/>
      <c r="AL51" s="29"/>
      <c r="AM51" s="38" t="str">
        <f t="shared" ref="AM51:AM69" si="164">IF(AM50="","","  [Dealer Response: "&amp;AM50&amp;"] ")</f>
        <v/>
      </c>
      <c r="AN51" s="33"/>
      <c r="AO51" s="33"/>
      <c r="AQ51" s="23" t="str">
        <f>IF(AQ50="","","  [Reverse Lookup Name: "&amp;AQ50&amp;"] ")</f>
        <v xml:space="preserve">  [Reverse Lookup Name: DANIELL SANTINI] </v>
      </c>
      <c r="AR51" s="23" t="str">
        <f t="shared" ref="AR51:AR69" si="165">""&amp;AR50</f>
        <v>409283320</v>
      </c>
      <c r="AT51" s="14"/>
      <c r="AU51" s="14"/>
      <c r="AV51" s="14"/>
      <c r="AW51" s="14"/>
      <c r="AX51" s="14"/>
      <c r="AY51" s="14"/>
      <c r="AZ51" s="55" t="str">
        <f>BB51&amp;BE51&amp;"  "&amp;BG51&amp;"  "&amp;BI51</f>
        <v xml:space="preserve">Open Alert: New Sales Opportunity    </v>
      </c>
      <c r="BA51" s="54"/>
      <c r="BB51" s="56" t="str">
        <f>IF(BD50=1,"Closed Alert: "&amp;BC50,IF(BC50="","", "Open Alert: "&amp;BC50))</f>
        <v>Open Alert: New Sales Opportunity</v>
      </c>
      <c r="BC51" s="54"/>
      <c r="BD51" s="54"/>
      <c r="BE51" s="56" t="str">
        <f>IF(BE50="","",BE50)</f>
        <v/>
      </c>
      <c r="BF51" s="56" t="str">
        <f>IF(BF50="","",BF50)</f>
        <v xml:space="preserve"> NISSAN Rogue SV Premium</v>
      </c>
      <c r="BG51" s="56" t="str">
        <f t="shared" ref="BG51:BG69" si="166">IF(BH50="","","  ["&amp;BG50&amp;": "&amp;BH50&amp;"]")</f>
        <v/>
      </c>
      <c r="BH51" s="54"/>
      <c r="BI51" s="56" t="str">
        <f t="shared" ref="BI51:BI69" si="167">IF(BJ50="","","  ["&amp;BI50&amp;": "&amp;BJ50&amp;"]")</f>
        <v/>
      </c>
      <c r="BJ51" s="54"/>
    </row>
    <row r="52" spans="1:62" s="23" customFormat="1" ht="46.5" customHeight="1" thickTop="1" x14ac:dyDescent="0.25">
      <c r="A52" s="23" t="s">
        <v>257</v>
      </c>
      <c r="B52" s="34"/>
      <c r="C52" s="35">
        <v>410174979</v>
      </c>
      <c r="D52" s="36" t="str">
        <f>"""CallButtonSMI"","""",""Events"",""Event_Id"",""410174979"""</f>
        <v>"CallButtonSMI","","Events","Event_Id","410174979"</v>
      </c>
      <c r="E52" s="48">
        <v>45440.357974537037</v>
      </c>
      <c r="F52" s="49">
        <v>45440.399641207034</v>
      </c>
      <c r="G52" s="50">
        <v>3.0666666666666669</v>
      </c>
      <c r="H52" s="51" t="s">
        <v>1316</v>
      </c>
      <c r="I52" s="51" t="s">
        <v>1364</v>
      </c>
      <c r="J52" s="51" t="str">
        <f t="shared" ref="J52:J69" si="168">IF($C52="","",IF(AO52="",AN52,AN52&amp;" "&amp;AO52))</f>
        <v>864-384-9270</v>
      </c>
      <c r="K52" s="51" t="s">
        <v>1323</v>
      </c>
      <c r="L52" s="51" t="s">
        <v>1362</v>
      </c>
      <c r="M52" s="51" t="s">
        <v>1320</v>
      </c>
      <c r="N52" s="65" t="str">
        <f t="shared" ref="N52:N69" si="169">BF53</f>
        <v>2020 JEEP Grand Cherokee for $28k</v>
      </c>
      <c r="O52" s="65" t="str">
        <f t="shared" ref="O52:O69" si="170">BE53</f>
        <v/>
      </c>
      <c r="P52" s="65" t="str">
        <f t="shared" ref="P52:P69" si="171">BB53</f>
        <v>Open Alert: Used Sales Opportunity</v>
      </c>
      <c r="Q52" s="51"/>
      <c r="R52" s="46" t="str">
        <f t="shared" ref="R52:R69" si="172">IF($C52="","",IF($Y52="","",HYPERLINK($Y52,"(")))</f>
        <v>(</v>
      </c>
      <c r="S52" s="33"/>
      <c r="T52" s="37"/>
      <c r="U52" s="33"/>
      <c r="V52" s="11"/>
      <c r="W52" s="11"/>
      <c r="X52" s="12"/>
      <c r="Y52" s="13" t="str">
        <f t="shared" ref="Y52:Y69" si="173">IF($Z52="","",IF(LEFT($Z52,4)="http",$Z52,"http://"&amp;$Z52))</f>
        <v>http://prodcommsstorage.blob.core.windows.net/2024/0528/RE0e26d096d656dce131d3f76abd031991.mp3</v>
      </c>
      <c r="Z52" s="23" t="str">
        <f>"prodcommsstorage.blob.core.windows.net/2024/0528/RE0e26d096d656dce131d3f76abd031991.mp3"</f>
        <v>prodcommsstorage.blob.core.windows.net/2024/0528/RE0e26d096d656dce131d3f76abd031991.mp3</v>
      </c>
      <c r="AC52" s="23" t="s">
        <v>1291</v>
      </c>
      <c r="AD52" s="23">
        <f t="shared" ref="AD52" si="174">IF(AC52="ET",0.04166667,IF(AC52="MT",-0.04166667,IF(AC52="PT",-0.08333333,0)))</f>
        <v>4.1666670000000003E-2</v>
      </c>
      <c r="AE52" s="27"/>
      <c r="AF52" s="27"/>
      <c r="AG52" s="27"/>
      <c r="AH52" s="28"/>
      <c r="AI52" s="28"/>
      <c r="AJ52" s="28"/>
      <c r="AK52" s="28"/>
      <c r="AL52" s="27"/>
      <c r="AM52" s="19"/>
      <c r="AN52" s="18" t="str">
        <f>"864-384-9270"</f>
        <v>864-384-9270</v>
      </c>
      <c r="AO52" s="18"/>
      <c r="AP52" s="33">
        <v>1</v>
      </c>
      <c r="AQ52" s="18" t="str">
        <f>"TRESA HENDERSON"</f>
        <v>TRESA HENDERSON</v>
      </c>
      <c r="AR52" s="23">
        <f t="shared" ref="AR52:AR69" si="175">C52</f>
        <v>410174979</v>
      </c>
      <c r="AT52" s="14"/>
      <c r="AU52" s="14"/>
      <c r="AV52" s="14"/>
      <c r="AW52" s="14"/>
      <c r="AX52" s="14"/>
      <c r="AY52" s="14"/>
      <c r="AZ52" s="58" t="str">
        <f>"TRESA HENDERSON"</f>
        <v>TRESA HENDERSON</v>
      </c>
      <c r="BA52" s="58">
        <v>12</v>
      </c>
      <c r="BB52" s="58">
        <v>1</v>
      </c>
      <c r="BC52" s="58" t="s">
        <v>1384</v>
      </c>
      <c r="BD52" s="58"/>
      <c r="BE52" s="59"/>
      <c r="BF52" s="59" t="str">
        <f>"2020 JEEP Grand Cherokee for $28k"</f>
        <v>2020 JEEP Grand Cherokee for $28k</v>
      </c>
      <c r="BG52" s="59" t="s">
        <v>1289</v>
      </c>
      <c r="BH52" s="58"/>
      <c r="BI52" s="59" t="s">
        <v>1289</v>
      </c>
      <c r="BJ52" s="58"/>
    </row>
    <row r="53" spans="1:62" s="23" customFormat="1" ht="72.75" customHeight="1" thickBot="1" x14ac:dyDescent="0.3">
      <c r="A53" s="23" t="s">
        <v>257</v>
      </c>
      <c r="B53" s="34"/>
      <c r="C53" s="35"/>
      <c r="D53" s="36" t="str">
        <f>D52</f>
        <v>"CallButtonSMI","","Events","Event_Id","410174979"</v>
      </c>
      <c r="E53" s="89" t="s">
        <v>1365</v>
      </c>
      <c r="F53" s="90"/>
      <c r="G53" s="90"/>
      <c r="H53" s="90"/>
      <c r="I53" s="90"/>
      <c r="J53" s="90"/>
      <c r="K53" s="90"/>
      <c r="L53" s="90"/>
      <c r="M53" s="90"/>
      <c r="N53" s="90"/>
      <c r="O53" s="90"/>
      <c r="P53" s="90"/>
      <c r="Q53" s="91"/>
      <c r="R53" s="62" t="s">
        <v>55</v>
      </c>
      <c r="S53" s="29"/>
      <c r="U53" s="42"/>
      <c r="V53" s="11"/>
      <c r="W53" s="11"/>
      <c r="X53" s="12"/>
      <c r="Y53" s="13"/>
      <c r="AE53" s="29"/>
      <c r="AF53" s="29" t="s">
        <v>1307</v>
      </c>
      <c r="AG53" s="29"/>
      <c r="AH53" s="29"/>
      <c r="AI53" s="29"/>
      <c r="AJ53" s="29"/>
      <c r="AK53" s="29"/>
      <c r="AL53" s="29"/>
      <c r="AM53" s="38" t="str">
        <f t="shared" ref="AM53:AM69" si="176">IF(AM52="","","  [Dealer Response: "&amp;AM52&amp;"] ")</f>
        <v/>
      </c>
      <c r="AN53" s="33"/>
      <c r="AO53" s="33"/>
      <c r="AQ53" s="23" t="str">
        <f>IF(AQ52="","","  [Reverse Lookup Name: "&amp;AQ52&amp;"] ")</f>
        <v xml:space="preserve">  [Reverse Lookup Name: TRESA HENDERSON] </v>
      </c>
      <c r="AR53" s="23" t="str">
        <f t="shared" ref="AR53:AR69" si="177">""&amp;AR52</f>
        <v>410174979</v>
      </c>
      <c r="AT53" s="14"/>
      <c r="AU53" s="14"/>
      <c r="AV53" s="14"/>
      <c r="AW53" s="14"/>
      <c r="AX53" s="14"/>
      <c r="AY53" s="14"/>
      <c r="AZ53" s="55" t="str">
        <f>BB53&amp;BE53&amp;"  "&amp;BG53&amp;"  "&amp;BI53</f>
        <v xml:space="preserve">Open Alert: Used Sales Opportunity    </v>
      </c>
      <c r="BA53" s="54"/>
      <c r="BB53" s="56" t="str">
        <f>IF(BD52=1,"Closed Alert: "&amp;BC52,IF(BC52="","", "Open Alert: "&amp;BC52))</f>
        <v>Open Alert: Used Sales Opportunity</v>
      </c>
      <c r="BC53" s="54"/>
      <c r="BD53" s="54"/>
      <c r="BE53" s="56" t="str">
        <f>IF(BE52="","",BE52)</f>
        <v/>
      </c>
      <c r="BF53" s="56" t="str">
        <f>IF(BF52="","",BF52)</f>
        <v>2020 JEEP Grand Cherokee for $28k</v>
      </c>
      <c r="BG53" s="56" t="str">
        <f t="shared" ref="BG53:BG69" si="178">IF(BH52="","","  ["&amp;BG52&amp;": "&amp;BH52&amp;"]")</f>
        <v/>
      </c>
      <c r="BH53" s="54"/>
      <c r="BI53" s="56" t="str">
        <f t="shared" ref="BI53:BI69" si="179">IF(BJ52="","","  ["&amp;BI52&amp;": "&amp;BJ52&amp;"]")</f>
        <v/>
      </c>
      <c r="BJ53" s="54"/>
    </row>
    <row r="54" spans="1:62" s="23" customFormat="1" ht="46.5" customHeight="1" thickTop="1" x14ac:dyDescent="0.25">
      <c r="A54" s="23" t="s">
        <v>257</v>
      </c>
      <c r="B54" s="34"/>
      <c r="C54" s="35">
        <v>408699141</v>
      </c>
      <c r="D54" s="36" t="str">
        <f>"""CallButtonSMI"","""",""Events"",""Event_Id"",""408699141"""</f>
        <v>"CallButtonSMI","","Events","Event_Id","408699141"</v>
      </c>
      <c r="E54" s="48">
        <v>45433.402592592596</v>
      </c>
      <c r="F54" s="49">
        <v>45433.444259262593</v>
      </c>
      <c r="G54" s="50">
        <v>2.1166666666666667</v>
      </c>
      <c r="H54" s="51" t="s">
        <v>1316</v>
      </c>
      <c r="I54" s="51" t="s">
        <v>1366</v>
      </c>
      <c r="J54" s="51" t="str">
        <f t="shared" ref="J54:J69" si="180">IF($C54="","",IF(AO54="",AN54,AN54&amp;" "&amp;AO54))</f>
        <v>864-380-4147</v>
      </c>
      <c r="K54" s="51" t="s">
        <v>1323</v>
      </c>
      <c r="L54" s="51" t="s">
        <v>1362</v>
      </c>
      <c r="M54" s="51" t="s">
        <v>1320</v>
      </c>
      <c r="N54" s="65" t="str">
        <f t="shared" ref="N54:N69" si="181">BF55</f>
        <v/>
      </c>
      <c r="O54" s="65" t="str">
        <f t="shared" ref="O54:O69" si="182">BE55</f>
        <v/>
      </c>
      <c r="P54" s="65" t="str">
        <f t="shared" ref="P54:P69" si="183">BB55</f>
        <v>Open Alert: Used Sales Opportunity</v>
      </c>
      <c r="Q54" s="51"/>
      <c r="R54" s="46" t="str">
        <f t="shared" ref="R54:R69" si="184">IF($C54="","",IF($Y54="","",HYPERLINK($Y54,"(")))</f>
        <v>(</v>
      </c>
      <c r="S54" s="33"/>
      <c r="T54" s="37"/>
      <c r="U54" s="33"/>
      <c r="V54" s="11"/>
      <c r="W54" s="11"/>
      <c r="X54" s="12"/>
      <c r="Y54" s="13" t="str">
        <f t="shared" ref="Y54:Y69" si="185">IF($Z54="","",IF(LEFT($Z54,4)="http",$Z54,"http://"&amp;$Z54))</f>
        <v>http://prodcommsstorage.blob.core.windows.net/2024/0521/RE0c1bcac2cda52d8aa66bec2696570adb.mp3</v>
      </c>
      <c r="Z54" s="23" t="str">
        <f>"prodcommsstorage.blob.core.windows.net/2024/0521/RE0c1bcac2cda52d8aa66bec2696570adb.mp3"</f>
        <v>prodcommsstorage.blob.core.windows.net/2024/0521/RE0c1bcac2cda52d8aa66bec2696570adb.mp3</v>
      </c>
      <c r="AC54" s="23" t="s">
        <v>1291</v>
      </c>
      <c r="AD54" s="23">
        <f t="shared" ref="AD54" si="186">IF(AC54="ET",0.04166667,IF(AC54="MT",-0.04166667,IF(AC54="PT",-0.08333333,0)))</f>
        <v>4.1666670000000003E-2</v>
      </c>
      <c r="AE54" s="27"/>
      <c r="AF54" s="27"/>
      <c r="AG54" s="27"/>
      <c r="AH54" s="28"/>
      <c r="AI54" s="28"/>
      <c r="AJ54" s="28"/>
      <c r="AK54" s="28"/>
      <c r="AL54" s="27"/>
      <c r="AM54" s="19"/>
      <c r="AN54" s="18" t="str">
        <f>"864-380-4147"</f>
        <v>864-380-4147</v>
      </c>
      <c r="AO54" s="18"/>
      <c r="AP54" s="33">
        <v>1</v>
      </c>
      <c r="AQ54" s="18" t="str">
        <f>"SC CALLER"</f>
        <v>SC CALLER</v>
      </c>
      <c r="AR54" s="23">
        <f t="shared" ref="AR54:AR69" si="187">C54</f>
        <v>408699141</v>
      </c>
      <c r="AT54" s="14"/>
      <c r="AU54" s="14"/>
      <c r="AV54" s="14"/>
      <c r="AW54" s="14"/>
      <c r="AX54" s="14"/>
      <c r="AY54" s="14"/>
      <c r="AZ54" s="58" t="str">
        <f>"SC CALLER"</f>
        <v>SC CALLER</v>
      </c>
      <c r="BA54" s="58">
        <v>12</v>
      </c>
      <c r="BB54" s="58">
        <v>1</v>
      </c>
      <c r="BC54" s="58" t="s">
        <v>1384</v>
      </c>
      <c r="BD54" s="58"/>
      <c r="BE54" s="59"/>
      <c r="BF54" s="59"/>
      <c r="BG54" s="59" t="s">
        <v>1289</v>
      </c>
      <c r="BH54" s="58"/>
      <c r="BI54" s="59" t="s">
        <v>1289</v>
      </c>
      <c r="BJ54" s="58"/>
    </row>
    <row r="55" spans="1:62" s="23" customFormat="1" ht="72.75" customHeight="1" thickBot="1" x14ac:dyDescent="0.3">
      <c r="A55" s="23" t="s">
        <v>257</v>
      </c>
      <c r="B55" s="34"/>
      <c r="C55" s="35"/>
      <c r="D55" s="36" t="str">
        <f>D54</f>
        <v>"CallButtonSMI","","Events","Event_Id","408699141"</v>
      </c>
      <c r="E55" s="89" t="s">
        <v>1367</v>
      </c>
      <c r="F55" s="90"/>
      <c r="G55" s="90"/>
      <c r="H55" s="90"/>
      <c r="I55" s="90"/>
      <c r="J55" s="90"/>
      <c r="K55" s="90"/>
      <c r="L55" s="90"/>
      <c r="M55" s="90"/>
      <c r="N55" s="90"/>
      <c r="O55" s="90"/>
      <c r="P55" s="90"/>
      <c r="Q55" s="91"/>
      <c r="R55" s="62" t="s">
        <v>55</v>
      </c>
      <c r="S55" s="29"/>
      <c r="U55" s="42"/>
      <c r="V55" s="11"/>
      <c r="W55" s="11"/>
      <c r="X55" s="12"/>
      <c r="Y55" s="13"/>
      <c r="AE55" s="29"/>
      <c r="AF55" s="29" t="s">
        <v>1308</v>
      </c>
      <c r="AG55" s="29"/>
      <c r="AH55" s="29"/>
      <c r="AI55" s="29"/>
      <c r="AJ55" s="29"/>
      <c r="AK55" s="29"/>
      <c r="AL55" s="29"/>
      <c r="AM55" s="38" t="str">
        <f t="shared" ref="AM55:AM69" si="188">IF(AM54="","","  [Dealer Response: "&amp;AM54&amp;"] ")</f>
        <v/>
      </c>
      <c r="AN55" s="33"/>
      <c r="AO55" s="33"/>
      <c r="AQ55" s="23" t="str">
        <f>IF(AQ54="","","  [Reverse Lookup Name: "&amp;AQ54&amp;"] ")</f>
        <v xml:space="preserve">  [Reverse Lookup Name: SC CALLER] </v>
      </c>
      <c r="AR55" s="23" t="str">
        <f t="shared" ref="AR55:AR69" si="189">""&amp;AR54</f>
        <v>408699141</v>
      </c>
      <c r="AT55" s="14"/>
      <c r="AU55" s="14"/>
      <c r="AV55" s="14"/>
      <c r="AW55" s="14"/>
      <c r="AX55" s="14"/>
      <c r="AY55" s="14"/>
      <c r="AZ55" s="55" t="str">
        <f>BB55&amp;BE55&amp;"  "&amp;BG55&amp;"  "&amp;BI55</f>
        <v xml:space="preserve">Open Alert: Used Sales Opportunity    </v>
      </c>
      <c r="BA55" s="54"/>
      <c r="BB55" s="56" t="str">
        <f>IF(BD54=1,"Closed Alert: "&amp;BC54,IF(BC54="","", "Open Alert: "&amp;BC54))</f>
        <v>Open Alert: Used Sales Opportunity</v>
      </c>
      <c r="BC55" s="54"/>
      <c r="BD55" s="54"/>
      <c r="BE55" s="56" t="str">
        <f>IF(BE54="","",BE54)</f>
        <v/>
      </c>
      <c r="BF55" s="56" t="str">
        <f>IF(BF54="","",BF54)</f>
        <v/>
      </c>
      <c r="BG55" s="56" t="str">
        <f t="shared" ref="BG55:BG69" si="190">IF(BH54="","","  ["&amp;BG54&amp;": "&amp;BH54&amp;"]")</f>
        <v/>
      </c>
      <c r="BH55" s="54"/>
      <c r="BI55" s="56" t="str">
        <f t="shared" ref="BI55:BI69" si="191">IF(BJ54="","","  ["&amp;BI54&amp;": "&amp;BJ54&amp;"]")</f>
        <v/>
      </c>
      <c r="BJ55" s="54"/>
    </row>
    <row r="56" spans="1:62" s="23" customFormat="1" ht="46.5" customHeight="1" thickTop="1" x14ac:dyDescent="0.25">
      <c r="A56" s="23" t="s">
        <v>257</v>
      </c>
      <c r="B56" s="34"/>
      <c r="C56" s="35">
        <v>404325746</v>
      </c>
      <c r="D56" s="36" t="str">
        <f>"""CallButtonSMI"","""",""Events"",""Event_Id"",""404325746"""</f>
        <v>"CallButtonSMI","","Events","Event_Id","404325746"</v>
      </c>
      <c r="E56" s="48">
        <v>45414.377928240741</v>
      </c>
      <c r="F56" s="49">
        <v>45414.419594910738</v>
      </c>
      <c r="G56" s="50">
        <v>9.6833333333333336</v>
      </c>
      <c r="H56" s="51" t="s">
        <v>1327</v>
      </c>
      <c r="I56" s="51" t="s">
        <v>1368</v>
      </c>
      <c r="J56" s="51" t="str">
        <f t="shared" ref="J56:J69" si="192">IF($C56="","",IF(AO56="",AN56,AN56&amp;" "&amp;AO56))</f>
        <v>310-283-1377 310-283-1377</v>
      </c>
      <c r="K56" s="51" t="s">
        <v>1323</v>
      </c>
      <c r="L56" s="51" t="s">
        <v>1369</v>
      </c>
      <c r="M56" s="51" t="s">
        <v>1320</v>
      </c>
      <c r="N56" s="65" t="str">
        <f t="shared" ref="N56:N69" si="193">BF57</f>
        <v>black 2020 KIA Telluride LX with stock #B2116</v>
      </c>
      <c r="O56" s="65" t="str">
        <f t="shared" ref="O56:O69" si="194">BE57</f>
        <v/>
      </c>
      <c r="P56" s="65" t="str">
        <f t="shared" ref="P56:P69" si="195">BB57</f>
        <v>Open Alert: Used Sales Opportunity</v>
      </c>
      <c r="Q56" s="51"/>
      <c r="R56" s="46" t="str">
        <f t="shared" ref="R56:R69" si="196">IF($C56="","",IF($Y56="","",HYPERLINK($Y56,"(")))</f>
        <v>(</v>
      </c>
      <c r="S56" s="33"/>
      <c r="T56" s="37"/>
      <c r="U56" s="33"/>
      <c r="V56" s="11"/>
      <c r="W56" s="11"/>
      <c r="X56" s="12"/>
      <c r="Y56" s="13" t="str">
        <f t="shared" ref="Y56:Y69" si="197">IF($Z56="","",IF(LEFT($Z56,4)="http",$Z56,"http://"&amp;$Z56))</f>
        <v>http://prodcommsstorage.blob.core.windows.net/2024/0502/RE77c3f04a3ba9fde872e1ab0ad8c08d90.mp3</v>
      </c>
      <c r="Z56" s="23" t="str">
        <f>"prodcommsstorage.blob.core.windows.net/2024/0502/RE77c3f04a3ba9fde872e1ab0ad8c08d90.mp3"</f>
        <v>prodcommsstorage.blob.core.windows.net/2024/0502/RE77c3f04a3ba9fde872e1ab0ad8c08d90.mp3</v>
      </c>
      <c r="AC56" s="23" t="s">
        <v>1291</v>
      </c>
      <c r="AD56" s="23">
        <f t="shared" ref="AD56" si="198">IF(AC56="ET",0.04166667,IF(AC56="MT",-0.04166667,IF(AC56="PT",-0.08333333,0)))</f>
        <v>4.1666670000000003E-2</v>
      </c>
      <c r="AE56" s="27"/>
      <c r="AF56" s="27"/>
      <c r="AG56" s="27"/>
      <c r="AH56" s="28"/>
      <c r="AI56" s="28"/>
      <c r="AJ56" s="28"/>
      <c r="AK56" s="28"/>
      <c r="AL56" s="27"/>
      <c r="AM56" s="19"/>
      <c r="AN56" s="18" t="str">
        <f>"310-283-1377"</f>
        <v>310-283-1377</v>
      </c>
      <c r="AO56" s="18" t="str">
        <f>"310-283-1377"</f>
        <v>310-283-1377</v>
      </c>
      <c r="AP56" s="33">
        <v>1</v>
      </c>
      <c r="AQ56" s="18" t="str">
        <f>"BARBARA GARRETT"</f>
        <v>BARBARA GARRETT</v>
      </c>
      <c r="AR56" s="23">
        <f t="shared" ref="AR56:AR69" si="199">C56</f>
        <v>404325746</v>
      </c>
      <c r="AT56" s="14"/>
      <c r="AU56" s="14"/>
      <c r="AV56" s="14"/>
      <c r="AW56" s="14"/>
      <c r="AX56" s="14"/>
      <c r="AY56" s="14"/>
      <c r="AZ56" s="58" t="str">
        <f>"BARBARA GARRETT"</f>
        <v>BARBARA GARRETT</v>
      </c>
      <c r="BA56" s="58">
        <v>12</v>
      </c>
      <c r="BB56" s="58">
        <v>1</v>
      </c>
      <c r="BC56" s="58" t="s">
        <v>1384</v>
      </c>
      <c r="BD56" s="58"/>
      <c r="BE56" s="59"/>
      <c r="BF56" s="59" t="str">
        <f>"black 2020 KIA Telluride LX with stock #B2116"</f>
        <v>black 2020 KIA Telluride LX with stock #B2116</v>
      </c>
      <c r="BG56" s="59" t="s">
        <v>1289</v>
      </c>
      <c r="BH56" s="58"/>
      <c r="BI56" s="59" t="s">
        <v>1289</v>
      </c>
      <c r="BJ56" s="58"/>
    </row>
    <row r="57" spans="1:62" s="23" customFormat="1" ht="72.75" customHeight="1" thickBot="1" x14ac:dyDescent="0.3">
      <c r="A57" s="23" t="s">
        <v>257</v>
      </c>
      <c r="B57" s="34"/>
      <c r="C57" s="35"/>
      <c r="D57" s="36" t="str">
        <f>D56</f>
        <v>"CallButtonSMI","","Events","Event_Id","404325746"</v>
      </c>
      <c r="E57" s="89" t="s">
        <v>1370</v>
      </c>
      <c r="F57" s="90"/>
      <c r="G57" s="90"/>
      <c r="H57" s="90"/>
      <c r="I57" s="90"/>
      <c r="J57" s="90"/>
      <c r="K57" s="90"/>
      <c r="L57" s="90"/>
      <c r="M57" s="90"/>
      <c r="N57" s="90"/>
      <c r="O57" s="90"/>
      <c r="P57" s="90"/>
      <c r="Q57" s="91"/>
      <c r="R57" s="62" t="s">
        <v>55</v>
      </c>
      <c r="S57" s="29"/>
      <c r="U57" s="42"/>
      <c r="V57" s="11"/>
      <c r="W57" s="11"/>
      <c r="X57" s="12"/>
      <c r="Y57" s="13"/>
      <c r="AE57" s="29"/>
      <c r="AF57" s="29" t="s">
        <v>1309</v>
      </c>
      <c r="AG57" s="29"/>
      <c r="AH57" s="29"/>
      <c r="AI57" s="29"/>
      <c r="AJ57" s="29"/>
      <c r="AK57" s="29"/>
      <c r="AL57" s="29"/>
      <c r="AM57" s="38" t="str">
        <f t="shared" ref="AM57:AM69" si="200">IF(AM56="","","  [Dealer Response: "&amp;AM56&amp;"] ")</f>
        <v/>
      </c>
      <c r="AN57" s="33"/>
      <c r="AO57" s="33"/>
      <c r="AQ57" s="23" t="str">
        <f>IF(AQ56="","","  [Reverse Lookup Name: "&amp;AQ56&amp;"] ")</f>
        <v xml:space="preserve">  [Reverse Lookup Name: BARBARA GARRETT] </v>
      </c>
      <c r="AR57" s="23" t="str">
        <f t="shared" ref="AR57:AR69" si="201">""&amp;AR56</f>
        <v>404325746</v>
      </c>
      <c r="AT57" s="14"/>
      <c r="AU57" s="14"/>
      <c r="AV57" s="14"/>
      <c r="AW57" s="14"/>
      <c r="AX57" s="14"/>
      <c r="AY57" s="14"/>
      <c r="AZ57" s="55" t="str">
        <f>BB57&amp;BE57&amp;"  "&amp;BG57&amp;"  "&amp;BI57</f>
        <v xml:space="preserve">Open Alert: Used Sales Opportunity    </v>
      </c>
      <c r="BA57" s="54"/>
      <c r="BB57" s="56" t="str">
        <f>IF(BD56=1,"Closed Alert: "&amp;BC56,IF(BC56="","", "Open Alert: "&amp;BC56))</f>
        <v>Open Alert: Used Sales Opportunity</v>
      </c>
      <c r="BC57" s="54"/>
      <c r="BD57" s="54"/>
      <c r="BE57" s="56" t="str">
        <f>IF(BE56="","",BE56)</f>
        <v/>
      </c>
      <c r="BF57" s="56" t="str">
        <f>IF(BF56="","",BF56)</f>
        <v>black 2020 KIA Telluride LX with stock #B2116</v>
      </c>
      <c r="BG57" s="56" t="str">
        <f t="shared" ref="BG57:BG69" si="202">IF(BH56="","","  ["&amp;BG56&amp;": "&amp;BH56&amp;"]")</f>
        <v/>
      </c>
      <c r="BH57" s="54"/>
      <c r="BI57" s="56" t="str">
        <f t="shared" ref="BI57:BI69" si="203">IF(BJ56="","","  ["&amp;BI56&amp;": "&amp;BJ56&amp;"]")</f>
        <v/>
      </c>
      <c r="BJ57" s="54"/>
    </row>
    <row r="58" spans="1:62" s="23" customFormat="1" ht="46.5" customHeight="1" thickTop="1" x14ac:dyDescent="0.25">
      <c r="A58" s="23" t="s">
        <v>257</v>
      </c>
      <c r="B58" s="34"/>
      <c r="C58" s="35">
        <v>407906399</v>
      </c>
      <c r="D58" s="36" t="str">
        <f>"""CallButtonSMI"","""",""Events"",""Event_Id"",""407906399"""</f>
        <v>"CallButtonSMI","","Events","Event_Id","407906399"</v>
      </c>
      <c r="E58" s="48">
        <v>45429.433506944442</v>
      </c>
      <c r="F58" s="49">
        <v>45429.475173614439</v>
      </c>
      <c r="G58" s="50">
        <v>2.6666666666666665</v>
      </c>
      <c r="H58" s="51" t="s">
        <v>1316</v>
      </c>
      <c r="I58" s="51" t="s">
        <v>1371</v>
      </c>
      <c r="J58" s="51" t="str">
        <f t="shared" ref="J58:J69" si="204">IF($C58="","",IF(AO58="",AN58,AN58&amp;" "&amp;AO58))</f>
        <v>864-401-0030 864-401-0030</v>
      </c>
      <c r="K58" s="51" t="s">
        <v>1323</v>
      </c>
      <c r="L58" s="51" t="s">
        <v>1323</v>
      </c>
      <c r="M58" s="51" t="s">
        <v>1320</v>
      </c>
      <c r="N58" s="65" t="str">
        <f t="shared" ref="N58:N69" si="205">BF59</f>
        <v xml:space="preserve">2015 NISSAN Altima for $11k </v>
      </c>
      <c r="O58" s="65" t="str">
        <f t="shared" ref="O58:O69" si="206">BE59</f>
        <v/>
      </c>
      <c r="P58" s="65" t="str">
        <f t="shared" ref="P58:P69" si="207">BB59</f>
        <v>Open Alert: Used Sales Opportunity</v>
      </c>
      <c r="Q58" s="51"/>
      <c r="R58" s="46" t="str">
        <f t="shared" ref="R58:R69" si="208">IF($C58="","",IF($Y58="","",HYPERLINK($Y58,"(")))</f>
        <v>(</v>
      </c>
      <c r="S58" s="33"/>
      <c r="T58" s="37"/>
      <c r="U58" s="33"/>
      <c r="V58" s="11"/>
      <c r="W58" s="11"/>
      <c r="X58" s="12"/>
      <c r="Y58" s="13" t="str">
        <f t="shared" ref="Y58:Y69" si="209">IF($Z58="","",IF(LEFT($Z58,4)="http",$Z58,"http://"&amp;$Z58))</f>
        <v>http://prodcommsstorage.blob.core.windows.net/2024/0517/RE45c3a7d6e55db4d5db9039e253fee1e9.mp3</v>
      </c>
      <c r="Z58" s="23" t="str">
        <f>"prodcommsstorage.blob.core.windows.net/2024/0517/RE45c3a7d6e55db4d5db9039e253fee1e9.mp3"</f>
        <v>prodcommsstorage.blob.core.windows.net/2024/0517/RE45c3a7d6e55db4d5db9039e253fee1e9.mp3</v>
      </c>
      <c r="AC58" s="23" t="s">
        <v>1291</v>
      </c>
      <c r="AD58" s="23">
        <f t="shared" ref="AD58" si="210">IF(AC58="ET",0.04166667,IF(AC58="MT",-0.04166667,IF(AC58="PT",-0.08333333,0)))</f>
        <v>4.1666670000000003E-2</v>
      </c>
      <c r="AE58" s="27"/>
      <c r="AF58" s="27"/>
      <c r="AG58" s="27"/>
      <c r="AH58" s="28"/>
      <c r="AI58" s="28"/>
      <c r="AJ58" s="28"/>
      <c r="AK58" s="28"/>
      <c r="AL58" s="27"/>
      <c r="AM58" s="19"/>
      <c r="AN58" s="18" t="str">
        <f>"864-401-0030"</f>
        <v>864-401-0030</v>
      </c>
      <c r="AO58" s="18" t="str">
        <f>"864-401-0030"</f>
        <v>864-401-0030</v>
      </c>
      <c r="AP58" s="33">
        <v>1</v>
      </c>
      <c r="AQ58" s="18" t="str">
        <f>"GERALDO ROGERS"</f>
        <v>GERALDO ROGERS</v>
      </c>
      <c r="AR58" s="23">
        <f t="shared" ref="AR58:AR69" si="211">C58</f>
        <v>407906399</v>
      </c>
      <c r="AT58" s="14"/>
      <c r="AU58" s="14"/>
      <c r="AV58" s="14"/>
      <c r="AW58" s="14"/>
      <c r="AX58" s="14"/>
      <c r="AY58" s="14"/>
      <c r="AZ58" s="58" t="str">
        <f>"GERALDO ROGERS"</f>
        <v>GERALDO ROGERS</v>
      </c>
      <c r="BA58" s="58">
        <v>12</v>
      </c>
      <c r="BB58" s="58">
        <v>1</v>
      </c>
      <c r="BC58" s="58" t="s">
        <v>1384</v>
      </c>
      <c r="BD58" s="58"/>
      <c r="BE58" s="59"/>
      <c r="BF58" s="59" t="str">
        <f>"2015 NISSAN Altima for $11k "</f>
        <v xml:space="preserve">2015 NISSAN Altima for $11k </v>
      </c>
      <c r="BG58" s="59" t="s">
        <v>1289</v>
      </c>
      <c r="BH58" s="58"/>
      <c r="BI58" s="59" t="s">
        <v>1289</v>
      </c>
      <c r="BJ58" s="58"/>
    </row>
    <row r="59" spans="1:62" s="23" customFormat="1" ht="72.75" customHeight="1" thickBot="1" x14ac:dyDescent="0.3">
      <c r="A59" s="23" t="s">
        <v>257</v>
      </c>
      <c r="B59" s="34"/>
      <c r="C59" s="35"/>
      <c r="D59" s="36" t="str">
        <f>D58</f>
        <v>"CallButtonSMI","","Events","Event_Id","407906399"</v>
      </c>
      <c r="E59" s="89" t="s">
        <v>1372</v>
      </c>
      <c r="F59" s="90"/>
      <c r="G59" s="90"/>
      <c r="H59" s="90"/>
      <c r="I59" s="90"/>
      <c r="J59" s="90"/>
      <c r="K59" s="90"/>
      <c r="L59" s="90"/>
      <c r="M59" s="90"/>
      <c r="N59" s="90"/>
      <c r="O59" s="90"/>
      <c r="P59" s="90"/>
      <c r="Q59" s="91"/>
      <c r="R59" s="62" t="s">
        <v>55</v>
      </c>
      <c r="S59" s="29"/>
      <c r="U59" s="42"/>
      <c r="V59" s="11"/>
      <c r="W59" s="11"/>
      <c r="X59" s="12"/>
      <c r="Y59" s="13"/>
      <c r="AE59" s="29"/>
      <c r="AF59" s="29" t="s">
        <v>1310</v>
      </c>
      <c r="AG59" s="29"/>
      <c r="AH59" s="29"/>
      <c r="AI59" s="29"/>
      <c r="AJ59" s="29"/>
      <c r="AK59" s="29"/>
      <c r="AL59" s="29"/>
      <c r="AM59" s="38" t="str">
        <f t="shared" ref="AM59:AM69" si="212">IF(AM58="","","  [Dealer Response: "&amp;AM58&amp;"] ")</f>
        <v/>
      </c>
      <c r="AN59" s="33"/>
      <c r="AO59" s="33"/>
      <c r="AQ59" s="23" t="str">
        <f>IF(AQ58="","","  [Reverse Lookup Name: "&amp;AQ58&amp;"] ")</f>
        <v xml:space="preserve">  [Reverse Lookup Name: GERALDO ROGERS] </v>
      </c>
      <c r="AR59" s="23" t="str">
        <f t="shared" ref="AR59:AR69" si="213">""&amp;AR58</f>
        <v>407906399</v>
      </c>
      <c r="AT59" s="14"/>
      <c r="AU59" s="14"/>
      <c r="AV59" s="14"/>
      <c r="AW59" s="14"/>
      <c r="AX59" s="14"/>
      <c r="AY59" s="14"/>
      <c r="AZ59" s="55" t="str">
        <f>BB59&amp;BE59&amp;"  "&amp;BG59&amp;"  "&amp;BI59</f>
        <v xml:space="preserve">Open Alert: Used Sales Opportunity    </v>
      </c>
      <c r="BA59" s="54"/>
      <c r="BB59" s="56" t="str">
        <f>IF(BD58=1,"Closed Alert: "&amp;BC58,IF(BC58="","", "Open Alert: "&amp;BC58))</f>
        <v>Open Alert: Used Sales Opportunity</v>
      </c>
      <c r="BC59" s="54"/>
      <c r="BD59" s="54"/>
      <c r="BE59" s="56" t="str">
        <f>IF(BE58="","",BE58)</f>
        <v/>
      </c>
      <c r="BF59" s="56" t="str">
        <f>IF(BF58="","",BF58)</f>
        <v xml:space="preserve">2015 NISSAN Altima for $11k </v>
      </c>
      <c r="BG59" s="56" t="str">
        <f t="shared" ref="BG59:BG69" si="214">IF(BH58="","","  ["&amp;BG58&amp;": "&amp;BH58&amp;"]")</f>
        <v/>
      </c>
      <c r="BH59" s="54"/>
      <c r="BI59" s="56" t="str">
        <f t="shared" ref="BI59:BI69" si="215">IF(BJ58="","","  ["&amp;BI58&amp;": "&amp;BJ58&amp;"]")</f>
        <v/>
      </c>
      <c r="BJ59" s="54"/>
    </row>
    <row r="60" spans="1:62" s="23" customFormat="1" ht="46.5" customHeight="1" thickTop="1" x14ac:dyDescent="0.25">
      <c r="A60" s="23" t="s">
        <v>257</v>
      </c>
      <c r="B60" s="34"/>
      <c r="C60" s="35">
        <v>408724427</v>
      </c>
      <c r="D60" s="36" t="str">
        <f>"""CallButtonSMI"","""",""Events"",""Event_Id"",""408724427"""</f>
        <v>"CallButtonSMI","","Events","Event_Id","408724427"</v>
      </c>
      <c r="E60" s="48">
        <v>45433.436689814815</v>
      </c>
      <c r="F60" s="49">
        <v>45433.478356484811</v>
      </c>
      <c r="G60" s="50">
        <v>3.5166666666666666</v>
      </c>
      <c r="H60" s="51" t="s">
        <v>1316</v>
      </c>
      <c r="I60" s="51" t="s">
        <v>1373</v>
      </c>
      <c r="J60" s="51" t="str">
        <f t="shared" ref="J60:J69" si="216">IF($C60="","",IF(AO60="",AN60,AN60&amp;" "&amp;AO60))</f>
        <v>865-283-9500</v>
      </c>
      <c r="K60" s="51" t="s">
        <v>1374</v>
      </c>
      <c r="L60" s="51" t="s">
        <v>1374</v>
      </c>
      <c r="M60" s="51" t="s">
        <v>1325</v>
      </c>
      <c r="N60" s="65" t="str">
        <f t="shared" ref="N60:N69" si="217">BF61</f>
        <v xml:space="preserve">NISSAN Frontier </v>
      </c>
      <c r="O60" s="65" t="str">
        <f t="shared" ref="O60:O69" si="218">BE61</f>
        <v/>
      </c>
      <c r="P60" s="65" t="str">
        <f t="shared" ref="P60:P69" si="219">BB61</f>
        <v>Open Alert: New Sales Opportunity</v>
      </c>
      <c r="Q60" s="51"/>
      <c r="R60" s="46" t="str">
        <f t="shared" ref="R60:R69" si="220">IF($C60="","",IF($Y60="","",HYPERLINK($Y60,"(")))</f>
        <v>(</v>
      </c>
      <c r="S60" s="33"/>
      <c r="T60" s="37"/>
      <c r="U60" s="33"/>
      <c r="V60" s="11"/>
      <c r="W60" s="11"/>
      <c r="X60" s="12"/>
      <c r="Y60" s="13" t="str">
        <f t="shared" ref="Y60:Y69" si="221">IF($Z60="","",IF(LEFT($Z60,4)="http",$Z60,"http://"&amp;$Z60))</f>
        <v>http://prodcommsstorage.blob.core.windows.net/2024/0521/RE259be8a6ab402d29f8bc2e7ad15dbadc.mp3</v>
      </c>
      <c r="Z60" s="23" t="str">
        <f>"prodcommsstorage.blob.core.windows.net/2024/0521/RE259be8a6ab402d29f8bc2e7ad15dbadc.mp3"</f>
        <v>prodcommsstorage.blob.core.windows.net/2024/0521/RE259be8a6ab402d29f8bc2e7ad15dbadc.mp3</v>
      </c>
      <c r="AC60" s="23" t="s">
        <v>1291</v>
      </c>
      <c r="AD60" s="23">
        <f t="shared" ref="AD60" si="222">IF(AC60="ET",0.04166667,IF(AC60="MT",-0.04166667,IF(AC60="PT",-0.08333333,0)))</f>
        <v>4.1666670000000003E-2</v>
      </c>
      <c r="AE60" s="27"/>
      <c r="AF60" s="27"/>
      <c r="AG60" s="27"/>
      <c r="AH60" s="28"/>
      <c r="AI60" s="28"/>
      <c r="AJ60" s="28"/>
      <c r="AK60" s="28"/>
      <c r="AL60" s="27"/>
      <c r="AM60" s="19"/>
      <c r="AN60" s="18" t="str">
        <f>"865-283-9500"</f>
        <v>865-283-9500</v>
      </c>
      <c r="AO60" s="18"/>
      <c r="AP60" s="33">
        <v>1</v>
      </c>
      <c r="AQ60" s="18" t="str">
        <f>"NICOLAS BEBB"</f>
        <v>NICOLAS BEBB</v>
      </c>
      <c r="AR60" s="23">
        <f t="shared" ref="AR60:AR69" si="223">C60</f>
        <v>408724427</v>
      </c>
      <c r="AT60" s="14"/>
      <c r="AU60" s="14"/>
      <c r="AV60" s="14"/>
      <c r="AW60" s="14"/>
      <c r="AX60" s="14"/>
      <c r="AY60" s="14"/>
      <c r="AZ60" s="58" t="str">
        <f>"NICOLAS BEBB"</f>
        <v>NICOLAS BEBB</v>
      </c>
      <c r="BA60" s="58">
        <v>11</v>
      </c>
      <c r="BB60" s="58">
        <v>1</v>
      </c>
      <c r="BC60" s="58" t="s">
        <v>1385</v>
      </c>
      <c r="BD60" s="58"/>
      <c r="BE60" s="59"/>
      <c r="BF60" s="59" t="str">
        <f>"NISSAN Frontier "</f>
        <v xml:space="preserve">NISSAN Frontier </v>
      </c>
      <c r="BG60" s="59" t="s">
        <v>1289</v>
      </c>
      <c r="BH60" s="58"/>
      <c r="BI60" s="59" t="s">
        <v>1289</v>
      </c>
      <c r="BJ60" s="58"/>
    </row>
    <row r="61" spans="1:62" s="23" customFormat="1" ht="72.75" customHeight="1" thickBot="1" x14ac:dyDescent="0.3">
      <c r="A61" s="23" t="s">
        <v>257</v>
      </c>
      <c r="B61" s="34"/>
      <c r="C61" s="35"/>
      <c r="D61" s="36" t="str">
        <f>D60</f>
        <v>"CallButtonSMI","","Events","Event_Id","408724427"</v>
      </c>
      <c r="E61" s="89" t="s">
        <v>1375</v>
      </c>
      <c r="F61" s="90"/>
      <c r="G61" s="90"/>
      <c r="H61" s="90"/>
      <c r="I61" s="90"/>
      <c r="J61" s="90"/>
      <c r="K61" s="90"/>
      <c r="L61" s="90"/>
      <c r="M61" s="90"/>
      <c r="N61" s="90"/>
      <c r="O61" s="90"/>
      <c r="P61" s="90"/>
      <c r="Q61" s="91"/>
      <c r="R61" s="62" t="s">
        <v>55</v>
      </c>
      <c r="S61" s="29"/>
      <c r="U61" s="42"/>
      <c r="V61" s="11"/>
      <c r="W61" s="11"/>
      <c r="X61" s="12"/>
      <c r="Y61" s="13"/>
      <c r="AE61" s="29"/>
      <c r="AF61" s="29" t="s">
        <v>1311</v>
      </c>
      <c r="AG61" s="29"/>
      <c r="AH61" s="29"/>
      <c r="AI61" s="29"/>
      <c r="AJ61" s="29"/>
      <c r="AK61" s="29"/>
      <c r="AL61" s="29"/>
      <c r="AM61" s="38" t="str">
        <f t="shared" ref="AM61:AM69" si="224">IF(AM60="","","  [Dealer Response: "&amp;AM60&amp;"] ")</f>
        <v/>
      </c>
      <c r="AN61" s="33"/>
      <c r="AO61" s="33"/>
      <c r="AQ61" s="23" t="str">
        <f>IF(AQ60="","","  [Reverse Lookup Name: "&amp;AQ60&amp;"] ")</f>
        <v xml:space="preserve">  [Reverse Lookup Name: NICOLAS BEBB] </v>
      </c>
      <c r="AR61" s="23" t="str">
        <f t="shared" ref="AR61:AR69" si="225">""&amp;AR60</f>
        <v>408724427</v>
      </c>
      <c r="AT61" s="14"/>
      <c r="AU61" s="14"/>
      <c r="AV61" s="14"/>
      <c r="AW61" s="14"/>
      <c r="AX61" s="14"/>
      <c r="AY61" s="14"/>
      <c r="AZ61" s="55" t="str">
        <f>BB61&amp;BE61&amp;"  "&amp;BG61&amp;"  "&amp;BI61</f>
        <v xml:space="preserve">Open Alert: New Sales Opportunity    </v>
      </c>
      <c r="BA61" s="54"/>
      <c r="BB61" s="56" t="str">
        <f>IF(BD60=1,"Closed Alert: "&amp;BC60,IF(BC60="","", "Open Alert: "&amp;BC60))</f>
        <v>Open Alert: New Sales Opportunity</v>
      </c>
      <c r="BC61" s="54"/>
      <c r="BD61" s="54"/>
      <c r="BE61" s="56" t="str">
        <f>IF(BE60="","",BE60)</f>
        <v/>
      </c>
      <c r="BF61" s="56" t="str">
        <f>IF(BF60="","",BF60)</f>
        <v xml:space="preserve">NISSAN Frontier </v>
      </c>
      <c r="BG61" s="56" t="str">
        <f t="shared" ref="BG61:BG69" si="226">IF(BH60="","","  ["&amp;BG60&amp;": "&amp;BH60&amp;"]")</f>
        <v/>
      </c>
      <c r="BH61" s="54"/>
      <c r="BI61" s="56" t="str">
        <f t="shared" ref="BI61:BI69" si="227">IF(BJ60="","","  ["&amp;BI60&amp;": "&amp;BJ60&amp;"]")</f>
        <v/>
      </c>
      <c r="BJ61" s="54"/>
    </row>
    <row r="62" spans="1:62" s="23" customFormat="1" ht="46.5" customHeight="1" thickTop="1" x14ac:dyDescent="0.25">
      <c r="A62" s="23" t="s">
        <v>257</v>
      </c>
      <c r="B62" s="34"/>
      <c r="C62" s="35">
        <v>408151015</v>
      </c>
      <c r="D62" s="36" t="str">
        <f>"""CallButtonSMI"","""",""Events"",""Event_Id"",""408151015"""</f>
        <v>"CallButtonSMI","","Events","Event_Id","408151015"</v>
      </c>
      <c r="E62" s="48">
        <v>45430.434618055559</v>
      </c>
      <c r="F62" s="49">
        <v>45430.476284725555</v>
      </c>
      <c r="G62" s="50">
        <v>3.3166666666666669</v>
      </c>
      <c r="H62" s="51" t="s">
        <v>1316</v>
      </c>
      <c r="I62" s="51" t="s">
        <v>1376</v>
      </c>
      <c r="J62" s="51" t="str">
        <f t="shared" ref="J62:J69" si="228">IF($C62="","",IF(AO62="",AN62,AN62&amp;" "&amp;AO62))</f>
        <v>828-556-0866</v>
      </c>
      <c r="K62" s="51" t="s">
        <v>1377</v>
      </c>
      <c r="L62" s="51" t="s">
        <v>1374</v>
      </c>
      <c r="M62" s="51" t="s">
        <v>1325</v>
      </c>
      <c r="N62" s="65" t="str">
        <f t="shared" ref="N62:N69" si="229">BF63</f>
        <v xml:space="preserve"> NISSAN Frontier Crew Cab</v>
      </c>
      <c r="O62" s="65" t="str">
        <f t="shared" ref="O62:O69" si="230">BE63</f>
        <v/>
      </c>
      <c r="P62" s="65" t="str">
        <f t="shared" ref="P62:P69" si="231">BB63</f>
        <v>Open Alert: New Sales Opportunity</v>
      </c>
      <c r="Q62" s="51"/>
      <c r="R62" s="46" t="str">
        <f t="shared" ref="R62:R69" si="232">IF($C62="","",IF($Y62="","",HYPERLINK($Y62,"(")))</f>
        <v>(</v>
      </c>
      <c r="S62" s="33"/>
      <c r="T62" s="37"/>
      <c r="U62" s="33"/>
      <c r="V62" s="11"/>
      <c r="W62" s="11"/>
      <c r="X62" s="12"/>
      <c r="Y62" s="13" t="str">
        <f t="shared" ref="Y62:Y69" si="233">IF($Z62="","",IF(LEFT($Z62,4)="http",$Z62,"http://"&amp;$Z62))</f>
        <v>http://prodcommsstorage.blob.core.windows.net/2024/0518/RE80e3e26ce7191ee83c7f296e7a51e911.mp3</v>
      </c>
      <c r="Z62" s="23" t="str">
        <f>"prodcommsstorage.blob.core.windows.net/2024/0518/RE80e3e26ce7191ee83c7f296e7a51e911.mp3"</f>
        <v>prodcommsstorage.blob.core.windows.net/2024/0518/RE80e3e26ce7191ee83c7f296e7a51e911.mp3</v>
      </c>
      <c r="AC62" s="23" t="s">
        <v>1291</v>
      </c>
      <c r="AD62" s="23">
        <f t="shared" ref="AD62" si="234">IF(AC62="ET",0.04166667,IF(AC62="MT",-0.04166667,IF(AC62="PT",-0.08333333,0)))</f>
        <v>4.1666670000000003E-2</v>
      </c>
      <c r="AE62" s="27"/>
      <c r="AF62" s="27"/>
      <c r="AG62" s="27"/>
      <c r="AH62" s="28"/>
      <c r="AI62" s="28"/>
      <c r="AJ62" s="28"/>
      <c r="AK62" s="28"/>
      <c r="AL62" s="27"/>
      <c r="AM62" s="19"/>
      <c r="AN62" s="18" t="str">
        <f>"828-556-0866"</f>
        <v>828-556-0866</v>
      </c>
      <c r="AO62" s="18"/>
      <c r="AP62" s="33">
        <v>1</v>
      </c>
      <c r="AQ62" s="18" t="str">
        <f>"NC CALLER"</f>
        <v>NC CALLER</v>
      </c>
      <c r="AR62" s="23">
        <f t="shared" ref="AR62:AR69" si="235">C62</f>
        <v>408151015</v>
      </c>
      <c r="AT62" s="14"/>
      <c r="AU62" s="14"/>
      <c r="AV62" s="14"/>
      <c r="AW62" s="14"/>
      <c r="AX62" s="14"/>
      <c r="AY62" s="14"/>
      <c r="AZ62" s="58" t="str">
        <f>"NC CALLER"</f>
        <v>NC CALLER</v>
      </c>
      <c r="BA62" s="58">
        <v>11</v>
      </c>
      <c r="BB62" s="58">
        <v>1</v>
      </c>
      <c r="BC62" s="58" t="s">
        <v>1385</v>
      </c>
      <c r="BD62" s="58"/>
      <c r="BE62" s="59"/>
      <c r="BF62" s="59" t="str">
        <f>" NISSAN Frontier Crew Cab"</f>
        <v xml:space="preserve"> NISSAN Frontier Crew Cab</v>
      </c>
      <c r="BG62" s="59" t="s">
        <v>1289</v>
      </c>
      <c r="BH62" s="58"/>
      <c r="BI62" s="59" t="s">
        <v>1289</v>
      </c>
      <c r="BJ62" s="58"/>
    </row>
    <row r="63" spans="1:62" s="23" customFormat="1" ht="72.75" customHeight="1" thickBot="1" x14ac:dyDescent="0.3">
      <c r="A63" s="23" t="s">
        <v>257</v>
      </c>
      <c r="B63" s="34"/>
      <c r="C63" s="35"/>
      <c r="D63" s="36" t="str">
        <f>D62</f>
        <v>"CallButtonSMI","","Events","Event_Id","408151015"</v>
      </c>
      <c r="E63" s="89" t="s">
        <v>1378</v>
      </c>
      <c r="F63" s="90"/>
      <c r="G63" s="90"/>
      <c r="H63" s="90"/>
      <c r="I63" s="90"/>
      <c r="J63" s="90"/>
      <c r="K63" s="90"/>
      <c r="L63" s="90"/>
      <c r="M63" s="90"/>
      <c r="N63" s="90"/>
      <c r="O63" s="90"/>
      <c r="P63" s="90"/>
      <c r="Q63" s="91"/>
      <c r="R63" s="62" t="s">
        <v>55</v>
      </c>
      <c r="S63" s="29"/>
      <c r="U63" s="42"/>
      <c r="V63" s="11"/>
      <c r="W63" s="11"/>
      <c r="X63" s="12"/>
      <c r="Y63" s="13"/>
      <c r="AE63" s="29"/>
      <c r="AF63" s="29" t="s">
        <v>1312</v>
      </c>
      <c r="AG63" s="29"/>
      <c r="AH63" s="29"/>
      <c r="AI63" s="29"/>
      <c r="AJ63" s="29"/>
      <c r="AK63" s="29"/>
      <c r="AL63" s="29"/>
      <c r="AM63" s="38" t="str">
        <f t="shared" ref="AM63:AM69" si="236">IF(AM62="","","  [Dealer Response: "&amp;AM62&amp;"] ")</f>
        <v/>
      </c>
      <c r="AN63" s="33"/>
      <c r="AO63" s="33"/>
      <c r="AQ63" s="23" t="str">
        <f>IF(AQ62="","","  [Reverse Lookup Name: "&amp;AQ62&amp;"] ")</f>
        <v xml:space="preserve">  [Reverse Lookup Name: NC CALLER] </v>
      </c>
      <c r="AR63" s="23" t="str">
        <f t="shared" ref="AR63:AR69" si="237">""&amp;AR62</f>
        <v>408151015</v>
      </c>
      <c r="AT63" s="14"/>
      <c r="AU63" s="14"/>
      <c r="AV63" s="14"/>
      <c r="AW63" s="14"/>
      <c r="AX63" s="14"/>
      <c r="AY63" s="14"/>
      <c r="AZ63" s="55" t="str">
        <f>BB63&amp;BE63&amp;"  "&amp;BG63&amp;"  "&amp;BI63</f>
        <v xml:space="preserve">Open Alert: New Sales Opportunity    </v>
      </c>
      <c r="BA63" s="54"/>
      <c r="BB63" s="56" t="str">
        <f>IF(BD62=1,"Closed Alert: "&amp;BC62,IF(BC62="","", "Open Alert: "&amp;BC62))</f>
        <v>Open Alert: New Sales Opportunity</v>
      </c>
      <c r="BC63" s="54"/>
      <c r="BD63" s="54"/>
      <c r="BE63" s="56" t="str">
        <f>IF(BE62="","",BE62)</f>
        <v/>
      </c>
      <c r="BF63" s="56" t="str">
        <f>IF(BF62="","",BF62)</f>
        <v xml:space="preserve"> NISSAN Frontier Crew Cab</v>
      </c>
      <c r="BG63" s="56" t="str">
        <f t="shared" ref="BG63:BG69" si="238">IF(BH62="","","  ["&amp;BG62&amp;": "&amp;BH62&amp;"]")</f>
        <v/>
      </c>
      <c r="BH63" s="54"/>
      <c r="BI63" s="56" t="str">
        <f t="shared" ref="BI63:BI69" si="239">IF(BJ62="","","  ["&amp;BI62&amp;": "&amp;BJ62&amp;"]")</f>
        <v/>
      </c>
      <c r="BJ63" s="54"/>
    </row>
    <row r="64" spans="1:62" s="23" customFormat="1" ht="46.5" customHeight="1" thickTop="1" x14ac:dyDescent="0.25">
      <c r="A64" s="23" t="s">
        <v>257</v>
      </c>
      <c r="B64" s="34"/>
      <c r="C64" s="35">
        <v>407824040</v>
      </c>
      <c r="D64" s="36" t="str">
        <f>"""CallButtonSMI"","""",""Events"",""Event_Id"",""407824040"""</f>
        <v>"CallButtonSMI","","Events","Event_Id","407824040"</v>
      </c>
      <c r="E64" s="48">
        <v>45428.771608796298</v>
      </c>
      <c r="F64" s="49">
        <v>45428.813275466295</v>
      </c>
      <c r="G64" s="50">
        <v>12.716666666666667</v>
      </c>
      <c r="H64" s="51" t="s">
        <v>1330</v>
      </c>
      <c r="I64" s="51" t="s">
        <v>1341</v>
      </c>
      <c r="J64" s="51" t="str">
        <f t="shared" ref="J64:J69" si="240">IF($C64="","",IF(AO64="",AN64,AN64&amp;" "&amp;AO64))</f>
        <v>864-398-8691 864-398-8691</v>
      </c>
      <c r="K64" s="51" t="s">
        <v>1318</v>
      </c>
      <c r="L64" s="51" t="s">
        <v>1318</v>
      </c>
      <c r="M64" s="51" t="s">
        <v>1325</v>
      </c>
      <c r="N64" s="65" t="str">
        <f t="shared" ref="N64:N69" si="241">BF65</f>
        <v/>
      </c>
      <c r="O64" s="65" t="str">
        <f t="shared" ref="O64:O69" si="242">BE65</f>
        <v/>
      </c>
      <c r="P64" s="65" t="str">
        <f t="shared" ref="P64:P69" si="243">BB65</f>
        <v>Open Alert: New Sales Opportunity</v>
      </c>
      <c r="Q64" s="51"/>
      <c r="R64" s="46" t="str">
        <f t="shared" ref="R64:R69" si="244">IF($C64="","",IF($Y64="","",HYPERLINK($Y64,"(")))</f>
        <v>(</v>
      </c>
      <c r="S64" s="33"/>
      <c r="T64" s="37"/>
      <c r="U64" s="33"/>
      <c r="V64" s="11"/>
      <c r="W64" s="11"/>
      <c r="X64" s="12"/>
      <c r="Y64" s="13" t="str">
        <f t="shared" ref="Y64:Y69" si="245">IF($Z64="","",IF(LEFT($Z64,4)="http",$Z64,"http://"&amp;$Z64))</f>
        <v>http://prodcommsstorage.blob.core.windows.net/2024/0516/RE1d238c23b16e7df6f3cf3aa3d2e4542c.mp3</v>
      </c>
      <c r="Z64" s="23" t="str">
        <f>"prodcommsstorage.blob.core.windows.net/2024/0516/RE1d238c23b16e7df6f3cf3aa3d2e4542c.mp3"</f>
        <v>prodcommsstorage.blob.core.windows.net/2024/0516/RE1d238c23b16e7df6f3cf3aa3d2e4542c.mp3</v>
      </c>
      <c r="AC64" s="23" t="s">
        <v>1291</v>
      </c>
      <c r="AD64" s="23">
        <f t="shared" ref="AD64" si="246">IF(AC64="ET",0.04166667,IF(AC64="MT",-0.04166667,IF(AC64="PT",-0.08333333,0)))</f>
        <v>4.1666670000000003E-2</v>
      </c>
      <c r="AE64" s="27"/>
      <c r="AF64" s="27"/>
      <c r="AG64" s="27"/>
      <c r="AH64" s="28"/>
      <c r="AI64" s="28"/>
      <c r="AJ64" s="28"/>
      <c r="AK64" s="28"/>
      <c r="AL64" s="27"/>
      <c r="AM64" s="19"/>
      <c r="AN64" s="18" t="str">
        <f>"864-398-8691"</f>
        <v>864-398-8691</v>
      </c>
      <c r="AO64" s="18" t="str">
        <f>"864-398-8691"</f>
        <v>864-398-8691</v>
      </c>
      <c r="AP64" s="33">
        <v>1</v>
      </c>
      <c r="AQ64" s="18" t="str">
        <f>"ANTHONY LANCASTER"</f>
        <v>ANTHONY LANCASTER</v>
      </c>
      <c r="AR64" s="23">
        <f t="shared" ref="AR64:AR69" si="247">C64</f>
        <v>407824040</v>
      </c>
      <c r="AT64" s="14"/>
      <c r="AU64" s="14"/>
      <c r="AV64" s="14"/>
      <c r="AW64" s="14"/>
      <c r="AX64" s="14"/>
      <c r="AY64" s="14"/>
      <c r="AZ64" s="58" t="str">
        <f>"ANTHONY LANCASTER"</f>
        <v>ANTHONY LANCASTER</v>
      </c>
      <c r="BA64" s="58">
        <v>11</v>
      </c>
      <c r="BB64" s="58">
        <v>1</v>
      </c>
      <c r="BC64" s="58" t="s">
        <v>1385</v>
      </c>
      <c r="BD64" s="58"/>
      <c r="BE64" s="59"/>
      <c r="BF64" s="59"/>
      <c r="BG64" s="59" t="s">
        <v>1289</v>
      </c>
      <c r="BH64" s="58"/>
      <c r="BI64" s="59" t="s">
        <v>1289</v>
      </c>
      <c r="BJ64" s="58"/>
    </row>
    <row r="65" spans="1:68" s="23" customFormat="1" ht="72.75" customHeight="1" thickBot="1" x14ac:dyDescent="0.3">
      <c r="A65" s="23" t="s">
        <v>257</v>
      </c>
      <c r="B65" s="34"/>
      <c r="C65" s="35"/>
      <c r="D65" s="36" t="str">
        <f>D64</f>
        <v>"CallButtonSMI","","Events","Event_Id","407824040"</v>
      </c>
      <c r="E65" s="89" t="s">
        <v>1379</v>
      </c>
      <c r="F65" s="90"/>
      <c r="G65" s="90"/>
      <c r="H65" s="90"/>
      <c r="I65" s="90"/>
      <c r="J65" s="90"/>
      <c r="K65" s="90"/>
      <c r="L65" s="90"/>
      <c r="M65" s="90"/>
      <c r="N65" s="90"/>
      <c r="O65" s="90"/>
      <c r="P65" s="90"/>
      <c r="Q65" s="91"/>
      <c r="R65" s="62" t="s">
        <v>55</v>
      </c>
      <c r="S65" s="29"/>
      <c r="U65" s="42"/>
      <c r="V65" s="11"/>
      <c r="W65" s="11"/>
      <c r="X65" s="12"/>
      <c r="Y65" s="13"/>
      <c r="AE65" s="29"/>
      <c r="AF65" s="29" t="s">
        <v>1313</v>
      </c>
      <c r="AG65" s="29"/>
      <c r="AH65" s="29"/>
      <c r="AI65" s="29"/>
      <c r="AJ65" s="29"/>
      <c r="AK65" s="29"/>
      <c r="AL65" s="29"/>
      <c r="AM65" s="38" t="str">
        <f t="shared" ref="AM65:AM69" si="248">IF(AM64="","","  [Dealer Response: "&amp;AM64&amp;"] ")</f>
        <v/>
      </c>
      <c r="AN65" s="33"/>
      <c r="AO65" s="33"/>
      <c r="AQ65" s="23" t="str">
        <f>IF(AQ64="","","  [Reverse Lookup Name: "&amp;AQ64&amp;"] ")</f>
        <v xml:space="preserve">  [Reverse Lookup Name: ANTHONY LANCASTER] </v>
      </c>
      <c r="AR65" s="23" t="str">
        <f t="shared" ref="AR65:AR69" si="249">""&amp;AR64</f>
        <v>407824040</v>
      </c>
      <c r="AT65" s="14"/>
      <c r="AU65" s="14"/>
      <c r="AV65" s="14"/>
      <c r="AW65" s="14"/>
      <c r="AX65" s="14"/>
      <c r="AY65" s="14"/>
      <c r="AZ65" s="55" t="str">
        <f>BB65&amp;BE65&amp;"  "&amp;BG65&amp;"  "&amp;BI65</f>
        <v xml:space="preserve">Open Alert: New Sales Opportunity    </v>
      </c>
      <c r="BA65" s="54"/>
      <c r="BB65" s="56" t="str">
        <f>IF(BD64=1,"Closed Alert: "&amp;BC64,IF(BC64="","", "Open Alert: "&amp;BC64))</f>
        <v>Open Alert: New Sales Opportunity</v>
      </c>
      <c r="BC65" s="54"/>
      <c r="BD65" s="54"/>
      <c r="BE65" s="56" t="str">
        <f>IF(BE64="","",BE64)</f>
        <v/>
      </c>
      <c r="BF65" s="56" t="str">
        <f>IF(BF64="","",BF64)</f>
        <v/>
      </c>
      <c r="BG65" s="56" t="str">
        <f t="shared" ref="BG65:BG69" si="250">IF(BH64="","","  ["&amp;BG64&amp;": "&amp;BH64&amp;"]")</f>
        <v/>
      </c>
      <c r="BH65" s="54"/>
      <c r="BI65" s="56" t="str">
        <f t="shared" ref="BI65:BI69" si="251">IF(BJ64="","","  ["&amp;BI64&amp;": "&amp;BJ64&amp;"]")</f>
        <v/>
      </c>
      <c r="BJ65" s="54"/>
    </row>
    <row r="66" spans="1:68" s="23" customFormat="1" ht="46.5" customHeight="1" thickTop="1" x14ac:dyDescent="0.25">
      <c r="A66" s="23" t="s">
        <v>257</v>
      </c>
      <c r="B66" s="34"/>
      <c r="C66" s="35">
        <v>404309052</v>
      </c>
      <c r="D66" s="36" t="str">
        <f>"""CallButtonSMI"","""",""Events"",""Event_Id"",""404309052"""</f>
        <v>"CallButtonSMI","","Events","Event_Id","404309052"</v>
      </c>
      <c r="E66" s="48">
        <v>45414.349780092591</v>
      </c>
      <c r="F66" s="49">
        <v>45414.391446762587</v>
      </c>
      <c r="G66" s="50">
        <v>2.9666666666666668</v>
      </c>
      <c r="H66" s="51" t="s">
        <v>1330</v>
      </c>
      <c r="I66" s="51" t="s">
        <v>1380</v>
      </c>
      <c r="J66" s="51" t="str">
        <f t="shared" ref="J66:J69" si="252">IF($C66="","",IF(AO66="",AN66,AN66&amp;" "&amp;AO66))</f>
        <v>770-283-9756 770-283-9756</v>
      </c>
      <c r="K66" s="51" t="s">
        <v>1323</v>
      </c>
      <c r="L66" s="51" t="s">
        <v>1318</v>
      </c>
      <c r="M66" s="51" t="s">
        <v>1325</v>
      </c>
      <c r="N66" s="65" t="str">
        <f t="shared" ref="N66:N69" si="253">BF67</f>
        <v>2024 NISSAN Versa</v>
      </c>
      <c r="O66" s="65" t="str">
        <f t="shared" ref="O66:O69" si="254">BE67</f>
        <v/>
      </c>
      <c r="P66" s="65" t="str">
        <f t="shared" ref="P66:P69" si="255">BB67</f>
        <v>Open Alert: New Sales Opportunity</v>
      </c>
      <c r="Q66" s="51"/>
      <c r="R66" s="46" t="str">
        <f t="shared" ref="R66:R69" si="256">IF($C66="","",IF($Y66="","",HYPERLINK($Y66,"(")))</f>
        <v>(</v>
      </c>
      <c r="S66" s="33"/>
      <c r="T66" s="37"/>
      <c r="U66" s="33"/>
      <c r="V66" s="11"/>
      <c r="W66" s="11"/>
      <c r="X66" s="12"/>
      <c r="Y66" s="13" t="str">
        <f t="shared" ref="Y66:Y69" si="257">IF($Z66="","",IF(LEFT($Z66,4)="http",$Z66,"http://"&amp;$Z66))</f>
        <v>http://prodcommsstorage.blob.core.windows.net/2024/0502/RE214761355a85810ffe1194f1d9da52f6.mp3</v>
      </c>
      <c r="Z66" s="23" t="str">
        <f>"prodcommsstorage.blob.core.windows.net/2024/0502/RE214761355a85810ffe1194f1d9da52f6.mp3"</f>
        <v>prodcommsstorage.blob.core.windows.net/2024/0502/RE214761355a85810ffe1194f1d9da52f6.mp3</v>
      </c>
      <c r="AC66" s="23" t="s">
        <v>1291</v>
      </c>
      <c r="AD66" s="23">
        <f t="shared" ref="AD66" si="258">IF(AC66="ET",0.04166667,IF(AC66="MT",-0.04166667,IF(AC66="PT",-0.08333333,0)))</f>
        <v>4.1666670000000003E-2</v>
      </c>
      <c r="AE66" s="27"/>
      <c r="AF66" s="27"/>
      <c r="AG66" s="27"/>
      <c r="AH66" s="28"/>
      <c r="AI66" s="28"/>
      <c r="AJ66" s="28"/>
      <c r="AK66" s="28"/>
      <c r="AL66" s="27"/>
      <c r="AM66" s="19"/>
      <c r="AN66" s="18" t="str">
        <f>"770-283-9756"</f>
        <v>770-283-9756</v>
      </c>
      <c r="AO66" s="18" t="str">
        <f>"770-283-9756"</f>
        <v>770-283-9756</v>
      </c>
      <c r="AP66" s="33">
        <v>1</v>
      </c>
      <c r="AQ66" s="18" t="str">
        <f>"GA CALLER"</f>
        <v>GA CALLER</v>
      </c>
      <c r="AR66" s="23">
        <f t="shared" ref="AR66:AR69" si="259">C66</f>
        <v>404309052</v>
      </c>
      <c r="AT66" s="14"/>
      <c r="AU66" s="14"/>
      <c r="AV66" s="14"/>
      <c r="AW66" s="14"/>
      <c r="AX66" s="14"/>
      <c r="AY66" s="14"/>
      <c r="AZ66" s="58" t="str">
        <f>"GA CALLER"</f>
        <v>GA CALLER</v>
      </c>
      <c r="BA66" s="58">
        <v>11</v>
      </c>
      <c r="BB66" s="58">
        <v>1</v>
      </c>
      <c r="BC66" s="58" t="s">
        <v>1385</v>
      </c>
      <c r="BD66" s="58"/>
      <c r="BE66" s="59"/>
      <c r="BF66" s="59" t="str">
        <f>"2024 NISSAN Versa"</f>
        <v>2024 NISSAN Versa</v>
      </c>
      <c r="BG66" s="59" t="s">
        <v>1289</v>
      </c>
      <c r="BH66" s="58"/>
      <c r="BI66" s="59" t="s">
        <v>1289</v>
      </c>
      <c r="BJ66" s="58"/>
    </row>
    <row r="67" spans="1:68" s="23" customFormat="1" ht="72.75" customHeight="1" thickBot="1" x14ac:dyDescent="0.3">
      <c r="A67" s="23" t="s">
        <v>257</v>
      </c>
      <c r="B67" s="34"/>
      <c r="C67" s="35"/>
      <c r="D67" s="36" t="str">
        <f>D66</f>
        <v>"CallButtonSMI","","Events","Event_Id","404309052"</v>
      </c>
      <c r="E67" s="89" t="s">
        <v>1381</v>
      </c>
      <c r="F67" s="90"/>
      <c r="G67" s="90"/>
      <c r="H67" s="90"/>
      <c r="I67" s="90"/>
      <c r="J67" s="90"/>
      <c r="K67" s="90"/>
      <c r="L67" s="90"/>
      <c r="M67" s="90"/>
      <c r="N67" s="90"/>
      <c r="O67" s="90"/>
      <c r="P67" s="90"/>
      <c r="Q67" s="91"/>
      <c r="R67" s="62" t="s">
        <v>55</v>
      </c>
      <c r="S67" s="29"/>
      <c r="U67" s="42"/>
      <c r="V67" s="11"/>
      <c r="W67" s="11"/>
      <c r="X67" s="12"/>
      <c r="Y67" s="13"/>
      <c r="AE67" s="29"/>
      <c r="AF67" s="29" t="s">
        <v>1314</v>
      </c>
      <c r="AG67" s="29"/>
      <c r="AH67" s="29"/>
      <c r="AI67" s="29"/>
      <c r="AJ67" s="29"/>
      <c r="AK67" s="29"/>
      <c r="AL67" s="29"/>
      <c r="AM67" s="38" t="str">
        <f t="shared" ref="AM67:AM69" si="260">IF(AM66="","","  [Dealer Response: "&amp;AM66&amp;"] ")</f>
        <v/>
      </c>
      <c r="AN67" s="33"/>
      <c r="AO67" s="33"/>
      <c r="AQ67" s="23" t="str">
        <f>IF(AQ66="","","  [Reverse Lookup Name: "&amp;AQ66&amp;"] ")</f>
        <v xml:space="preserve">  [Reverse Lookup Name: GA CALLER] </v>
      </c>
      <c r="AR67" s="23" t="str">
        <f t="shared" ref="AR67:AR69" si="261">""&amp;AR66</f>
        <v>404309052</v>
      </c>
      <c r="AT67" s="14"/>
      <c r="AU67" s="14"/>
      <c r="AV67" s="14"/>
      <c r="AW67" s="14"/>
      <c r="AX67" s="14"/>
      <c r="AY67" s="14"/>
      <c r="AZ67" s="55" t="str">
        <f>BB67&amp;BE67&amp;"  "&amp;BG67&amp;"  "&amp;BI67</f>
        <v xml:space="preserve">Open Alert: New Sales Opportunity    </v>
      </c>
      <c r="BA67" s="54"/>
      <c r="BB67" s="56" t="str">
        <f>IF(BD66=1,"Closed Alert: "&amp;BC66,IF(BC66="","", "Open Alert: "&amp;BC66))</f>
        <v>Open Alert: New Sales Opportunity</v>
      </c>
      <c r="BC67" s="54"/>
      <c r="BD67" s="54"/>
      <c r="BE67" s="56" t="str">
        <f>IF(BE66="","",BE66)</f>
        <v/>
      </c>
      <c r="BF67" s="56" t="str">
        <f>IF(BF66="","",BF66)</f>
        <v>2024 NISSAN Versa</v>
      </c>
      <c r="BG67" s="56" t="str">
        <f t="shared" ref="BG67:BG69" si="262">IF(BH66="","","  ["&amp;BG66&amp;": "&amp;BH66&amp;"]")</f>
        <v/>
      </c>
      <c r="BH67" s="54"/>
      <c r="BI67" s="56" t="str">
        <f t="shared" ref="BI67:BI69" si="263">IF(BJ66="","","  ["&amp;BI66&amp;": "&amp;BJ66&amp;"]")</f>
        <v/>
      </c>
      <c r="BJ67" s="54"/>
    </row>
    <row r="68" spans="1:68" s="23" customFormat="1" ht="46.5" customHeight="1" thickTop="1" x14ac:dyDescent="0.25">
      <c r="A68" s="23" t="s">
        <v>257</v>
      </c>
      <c r="B68" s="34"/>
      <c r="C68" s="35">
        <v>404886512</v>
      </c>
      <c r="D68" s="36" t="str">
        <f>"""CallButtonSMI"","""",""Events"",""Event_Id"",""404886512"""</f>
        <v>"CallButtonSMI","","Events","Event_Id","404886512"</v>
      </c>
      <c r="E68" s="48">
        <v>45416.471631944441</v>
      </c>
      <c r="F68" s="49">
        <v>45416.513298614438</v>
      </c>
      <c r="G68" s="50">
        <v>8.5166666666666675</v>
      </c>
      <c r="H68" s="51" t="s">
        <v>1327</v>
      </c>
      <c r="I68" s="51" t="s">
        <v>1382</v>
      </c>
      <c r="J68" s="51" t="str">
        <f t="shared" ref="J68:J69" si="264">IF($C68="","",IF(AO68="",AN68,AN68&amp;" "&amp;AO68))</f>
        <v>864-501-7067</v>
      </c>
      <c r="K68" s="51" t="s">
        <v>1318</v>
      </c>
      <c r="L68" s="51" t="s">
        <v>1318</v>
      </c>
      <c r="M68" s="51" t="s">
        <v>1320</v>
      </c>
      <c r="N68" s="65" t="str">
        <f t="shared" ref="N68:N69" si="265">BF69</f>
        <v>2019 NISSAN Pathfinder</v>
      </c>
      <c r="O68" s="65" t="str">
        <f t="shared" ref="O68:O69" si="266">BE69</f>
        <v/>
      </c>
      <c r="P68" s="65" t="str">
        <f t="shared" ref="P68:P69" si="267">BB69</f>
        <v>Open Alert: Used Sales Opportunity</v>
      </c>
      <c r="Q68" s="51"/>
      <c r="R68" s="46" t="str">
        <f t="shared" ref="R68:R69" si="268">IF($C68="","",IF($Y68="","",HYPERLINK($Y68,"(")))</f>
        <v>(</v>
      </c>
      <c r="S68" s="33"/>
      <c r="T68" s="37"/>
      <c r="U68" s="33"/>
      <c r="V68" s="11"/>
      <c r="W68" s="11"/>
      <c r="X68" s="12"/>
      <c r="Y68" s="13" t="str">
        <f t="shared" ref="Y68:Y69" si="269">IF($Z68="","",IF(LEFT($Z68,4)="http",$Z68,"http://"&amp;$Z68))</f>
        <v>http://prodcommsstorage.blob.core.windows.net/2024/0504/REf375a52857d2b6cf28204f2a22625c7b.mp3</v>
      </c>
      <c r="Z68" s="23" t="str">
        <f>"prodcommsstorage.blob.core.windows.net/2024/0504/REf375a52857d2b6cf28204f2a22625c7b.mp3"</f>
        <v>prodcommsstorage.blob.core.windows.net/2024/0504/REf375a52857d2b6cf28204f2a22625c7b.mp3</v>
      </c>
      <c r="AC68" s="23" t="s">
        <v>1291</v>
      </c>
      <c r="AD68" s="23">
        <f t="shared" ref="AD68" si="270">IF(AC68="ET",0.04166667,IF(AC68="MT",-0.04166667,IF(AC68="PT",-0.08333333,0)))</f>
        <v>4.1666670000000003E-2</v>
      </c>
      <c r="AE68" s="27"/>
      <c r="AF68" s="27"/>
      <c r="AG68" s="27"/>
      <c r="AH68" s="28"/>
      <c r="AI68" s="28"/>
      <c r="AJ68" s="28"/>
      <c r="AK68" s="28"/>
      <c r="AL68" s="27"/>
      <c r="AM68" s="19"/>
      <c r="AN68" s="18" t="str">
        <f>"864-501-7067"</f>
        <v>864-501-7067</v>
      </c>
      <c r="AO68" s="18"/>
      <c r="AP68" s="33">
        <v>1</v>
      </c>
      <c r="AQ68" s="18" t="str">
        <f>"SC CALLER"</f>
        <v>SC CALLER</v>
      </c>
      <c r="AR68" s="23">
        <f t="shared" ref="AR68:AR69" si="271">C68</f>
        <v>404886512</v>
      </c>
      <c r="AT68" s="14"/>
      <c r="AU68" s="14"/>
      <c r="AV68" s="14"/>
      <c r="AW68" s="14"/>
      <c r="AX68" s="14"/>
      <c r="AY68" s="14"/>
      <c r="AZ68" s="58" t="str">
        <f>"SC CALLER"</f>
        <v>SC CALLER</v>
      </c>
      <c r="BA68" s="58">
        <v>12</v>
      </c>
      <c r="BB68" s="58">
        <v>1</v>
      </c>
      <c r="BC68" s="58" t="s">
        <v>1384</v>
      </c>
      <c r="BD68" s="58"/>
      <c r="BE68" s="59"/>
      <c r="BF68" s="59" t="str">
        <f>"2019 NISSAN Pathfinder"</f>
        <v>2019 NISSAN Pathfinder</v>
      </c>
      <c r="BG68" s="59" t="s">
        <v>1289</v>
      </c>
      <c r="BH68" s="58"/>
      <c r="BI68" s="59" t="s">
        <v>1289</v>
      </c>
      <c r="BJ68" s="58"/>
    </row>
    <row r="69" spans="1:68" s="23" customFormat="1" ht="72.75" customHeight="1" thickBot="1" x14ac:dyDescent="0.3">
      <c r="A69" s="23" t="s">
        <v>257</v>
      </c>
      <c r="B69" s="34"/>
      <c r="C69" s="35"/>
      <c r="D69" s="36" t="str">
        <f t="shared" ref="D69" si="272">D68</f>
        <v>"CallButtonSMI","","Events","Event_Id","404886512"</v>
      </c>
      <c r="E69" s="89" t="s">
        <v>1383</v>
      </c>
      <c r="F69" s="90"/>
      <c r="G69" s="90"/>
      <c r="H69" s="90"/>
      <c r="I69" s="90"/>
      <c r="J69" s="90"/>
      <c r="K69" s="90"/>
      <c r="L69" s="90"/>
      <c r="M69" s="90"/>
      <c r="N69" s="90"/>
      <c r="O69" s="90"/>
      <c r="P69" s="90"/>
      <c r="Q69" s="91"/>
      <c r="R69" s="62" t="s">
        <v>55</v>
      </c>
      <c r="S69" s="29"/>
      <c r="U69" s="42"/>
      <c r="V69" s="11"/>
      <c r="W69" s="11"/>
      <c r="X69" s="12"/>
      <c r="Y69" s="13"/>
      <c r="AE69" s="29"/>
      <c r="AF69" s="29" t="s">
        <v>1315</v>
      </c>
      <c r="AG69" s="29"/>
      <c r="AH69" s="29"/>
      <c r="AI69" s="29"/>
      <c r="AJ69" s="29"/>
      <c r="AK69" s="29"/>
      <c r="AL69" s="29"/>
      <c r="AM69" s="38" t="str">
        <f t="shared" ref="AM69" si="273">IF(AM68="","","  [Dealer Response: "&amp;AM68&amp;"] ")</f>
        <v/>
      </c>
      <c r="AN69" s="33"/>
      <c r="AO69" s="33"/>
      <c r="AQ69" s="23" t="str">
        <f t="shared" ref="AQ69" si="274">IF(AQ68="","","  [Reverse Lookup Name: "&amp;AQ68&amp;"] ")</f>
        <v xml:space="preserve">  [Reverse Lookup Name: SC CALLER] </v>
      </c>
      <c r="AR69" s="23" t="str">
        <f t="shared" ref="AR69" si="275">""&amp;AR68</f>
        <v>404886512</v>
      </c>
      <c r="AT69" s="14"/>
      <c r="AU69" s="14"/>
      <c r="AV69" s="14"/>
      <c r="AW69" s="14"/>
      <c r="AX69" s="14"/>
      <c r="AY69" s="14"/>
      <c r="AZ69" s="55" t="str">
        <f t="shared" ref="AZ69" si="276">BB69&amp;BE69&amp;"  "&amp;BG69&amp;"  "&amp;BI69</f>
        <v xml:space="preserve">Open Alert: Used Sales Opportunity    </v>
      </c>
      <c r="BA69" s="54"/>
      <c r="BB69" s="56" t="str">
        <f t="shared" ref="BB69" si="277">IF(BD68=1,"Closed Alert: "&amp;BC68,IF(BC68="","", "Open Alert: "&amp;BC68))</f>
        <v>Open Alert: Used Sales Opportunity</v>
      </c>
      <c r="BC69" s="54"/>
      <c r="BD69" s="54"/>
      <c r="BE69" s="56" t="str">
        <f t="shared" ref="BE69:BF69" si="278">IF(BE68="","",BE68)</f>
        <v/>
      </c>
      <c r="BF69" s="56" t="str">
        <f t="shared" si="278"/>
        <v>2019 NISSAN Pathfinder</v>
      </c>
      <c r="BG69" s="56" t="str">
        <f t="shared" ref="BG69" si="279">IF(BH68="","","  ["&amp;BG68&amp;": "&amp;BH68&amp;"]")</f>
        <v/>
      </c>
      <c r="BH69" s="54"/>
      <c r="BI69" s="56" t="str">
        <f t="shared" ref="BI69" si="280">IF(BJ68="","","  ["&amp;BI68&amp;": "&amp;BJ68&amp;"]")</f>
        <v/>
      </c>
      <c r="BJ69" s="54"/>
    </row>
    <row r="70" spans="1:68" ht="15.75" hidden="1" thickTop="1" x14ac:dyDescent="0.25">
      <c r="A70" s="20" t="s">
        <v>12</v>
      </c>
      <c r="E70" s="39"/>
      <c r="F70" s="39"/>
      <c r="G70" s="40"/>
      <c r="H70" s="39"/>
      <c r="I70" s="39"/>
      <c r="J70" s="39"/>
      <c r="K70" s="39"/>
      <c r="L70" s="39"/>
      <c r="M70" s="39"/>
      <c r="N70" s="39"/>
      <c r="O70" s="39"/>
      <c r="P70" s="39"/>
      <c r="Q70" s="39"/>
      <c r="R70" s="41"/>
      <c r="S70" s="41"/>
      <c r="T70" s="21"/>
      <c r="U70" s="7"/>
      <c r="V70" s="8"/>
      <c r="W70" s="8"/>
      <c r="X70" s="8"/>
      <c r="Y70" s="3"/>
      <c r="Z70" s="3"/>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53"/>
      <c r="BA70" s="53"/>
      <c r="BB70" s="53"/>
      <c r="BC70" s="53"/>
      <c r="BD70" s="53"/>
      <c r="BE70" s="53"/>
      <c r="BF70" s="53"/>
      <c r="BG70" s="53"/>
      <c r="BH70" s="53"/>
      <c r="BI70" s="53"/>
      <c r="BJ70" s="53"/>
      <c r="BK70" s="20"/>
      <c r="BL70" s="20"/>
      <c r="BM70" s="20"/>
      <c r="BN70" s="20"/>
      <c r="BO70" s="20"/>
      <c r="BP70" s="20"/>
    </row>
    <row r="71" spans="1:68" ht="15.75" hidden="1" thickTop="1" x14ac:dyDescent="0.25">
      <c r="A71" s="20" t="s">
        <v>12</v>
      </c>
      <c r="E71" s="39"/>
      <c r="F71" s="39"/>
      <c r="G71" s="40"/>
      <c r="H71" s="39"/>
      <c r="I71" s="39"/>
      <c r="J71" s="39"/>
      <c r="K71" s="39"/>
      <c r="L71" s="39"/>
      <c r="M71" s="39"/>
      <c r="N71" s="39"/>
      <c r="O71" s="39"/>
      <c r="P71" s="39"/>
      <c r="Q71" s="39"/>
      <c r="R71" s="41"/>
      <c r="S71" s="41"/>
      <c r="T71" s="21"/>
      <c r="U71" s="7"/>
      <c r="V71" s="8"/>
      <c r="W71" s="8"/>
      <c r="X71" s="8"/>
      <c r="Y71" s="3"/>
      <c r="Z71" s="3"/>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53"/>
      <c r="BA71" s="53"/>
      <c r="BB71" s="53"/>
      <c r="BC71" s="53"/>
      <c r="BD71" s="53"/>
      <c r="BE71" s="53"/>
      <c r="BF71" s="53"/>
      <c r="BG71" s="53"/>
      <c r="BH71" s="53"/>
      <c r="BI71" s="53"/>
      <c r="BJ71" s="53"/>
      <c r="BK71" s="20"/>
      <c r="BL71" s="20"/>
      <c r="BM71" s="20"/>
      <c r="BN71" s="20"/>
      <c r="BO71" s="20"/>
      <c r="BP71" s="20"/>
    </row>
    <row r="72" spans="1:68" s="20" customFormat="1" ht="15.75" thickTop="1" x14ac:dyDescent="0.25">
      <c r="R72" s="21"/>
      <c r="S72" s="41"/>
      <c r="T72" s="21"/>
      <c r="U72" s="7"/>
      <c r="V72" s="8"/>
      <c r="W72" s="8"/>
      <c r="X72" s="8"/>
      <c r="Y72" s="3"/>
      <c r="Z72" s="3"/>
      <c r="AT72" s="4"/>
      <c r="AU72" s="4"/>
      <c r="AV72" s="4"/>
      <c r="AW72" s="4"/>
      <c r="AX72" s="4"/>
      <c r="AY72" s="4"/>
      <c r="AZ72" s="53"/>
      <c r="BA72" s="53"/>
      <c r="BB72" s="53"/>
      <c r="BC72" s="53"/>
      <c r="BD72" s="53"/>
      <c r="BE72" s="53"/>
      <c r="BF72" s="53"/>
      <c r="BG72" s="53"/>
      <c r="BH72" s="53"/>
      <c r="BI72" s="53"/>
      <c r="BJ72" s="53"/>
    </row>
    <row r="73" spans="1:68" s="20" customFormat="1" x14ac:dyDescent="0.25">
      <c r="R73" s="21"/>
      <c r="S73" s="21"/>
      <c r="T73" s="21"/>
      <c r="U73" s="7"/>
      <c r="V73" s="8"/>
      <c r="W73" s="8"/>
      <c r="X73" s="8"/>
      <c r="Y73" s="3"/>
      <c r="Z73" s="3"/>
      <c r="AT73" s="4"/>
      <c r="AU73" s="4"/>
      <c r="AV73" s="4"/>
      <c r="AW73" s="4"/>
      <c r="AX73" s="4"/>
      <c r="AY73" s="4"/>
      <c r="AZ73" s="53"/>
      <c r="BA73" s="53"/>
      <c r="BB73" s="53"/>
      <c r="BC73" s="53"/>
      <c r="BD73" s="53"/>
      <c r="BE73" s="53"/>
      <c r="BF73" s="53"/>
      <c r="BG73" s="53"/>
      <c r="BH73" s="53"/>
      <c r="BI73" s="53"/>
      <c r="BJ73" s="53"/>
    </row>
    <row r="74" spans="1:68" s="20" customFormat="1" x14ac:dyDescent="0.25">
      <c r="R74" s="21"/>
      <c r="S74" s="21"/>
      <c r="T74" s="21"/>
      <c r="U74" s="7"/>
      <c r="V74" s="8"/>
      <c r="W74" s="8"/>
      <c r="X74" s="8"/>
      <c r="Y74" s="3"/>
      <c r="Z74" s="3"/>
      <c r="AT74" s="4"/>
      <c r="AU74" s="4"/>
      <c r="AV74" s="4"/>
      <c r="AW74" s="4"/>
      <c r="AX74" s="4"/>
      <c r="AY74" s="4"/>
      <c r="AZ74" s="53"/>
      <c r="BA74" s="53"/>
      <c r="BB74" s="53"/>
      <c r="BC74" s="53"/>
      <c r="BD74" s="53"/>
      <c r="BE74" s="53"/>
      <c r="BF74" s="53"/>
      <c r="BG74" s="53"/>
      <c r="BH74" s="53"/>
      <c r="BI74" s="53"/>
      <c r="BJ74" s="53"/>
    </row>
    <row r="75" spans="1:68" s="20" customFormat="1" x14ac:dyDescent="0.25">
      <c r="R75" s="21"/>
      <c r="S75" s="21"/>
      <c r="T75" s="21"/>
      <c r="U75" s="7"/>
      <c r="V75" s="8"/>
      <c r="W75" s="8"/>
      <c r="X75" s="8"/>
      <c r="Y75" s="3"/>
      <c r="Z75" s="3"/>
      <c r="AT75" s="4"/>
      <c r="AU75" s="4"/>
      <c r="AV75" s="4"/>
      <c r="AW75" s="4"/>
      <c r="AX75" s="4"/>
      <c r="AY75" s="4"/>
      <c r="AZ75" s="53"/>
      <c r="BA75" s="53"/>
      <c r="BB75" s="53"/>
      <c r="BC75" s="53"/>
      <c r="BD75" s="53"/>
      <c r="BE75" s="53"/>
      <c r="BF75" s="53"/>
      <c r="BG75" s="53"/>
      <c r="BH75" s="53"/>
      <c r="BI75" s="53"/>
      <c r="BJ75" s="53"/>
    </row>
    <row r="76" spans="1:68" s="20" customFormat="1" x14ac:dyDescent="0.25">
      <c r="R76" s="21"/>
      <c r="S76" s="21"/>
      <c r="T76" s="21"/>
      <c r="U76" s="7"/>
      <c r="V76" s="8"/>
      <c r="W76" s="8"/>
      <c r="X76" s="8"/>
      <c r="Y76" s="3"/>
      <c r="Z76" s="3"/>
      <c r="AT76" s="4"/>
      <c r="AU76" s="4"/>
      <c r="AV76" s="4"/>
      <c r="AW76" s="4"/>
      <c r="AX76" s="4"/>
      <c r="AY76" s="4"/>
      <c r="AZ76" s="53"/>
      <c r="BA76" s="53"/>
      <c r="BB76" s="53"/>
      <c r="BC76" s="53"/>
      <c r="BD76" s="53"/>
      <c r="BE76" s="53"/>
      <c r="BF76" s="53"/>
      <c r="BG76" s="53"/>
      <c r="BH76" s="53"/>
      <c r="BI76" s="53"/>
      <c r="BJ76" s="53"/>
    </row>
    <row r="77" spans="1:68" s="20" customFormat="1" x14ac:dyDescent="0.25">
      <c r="R77" s="21"/>
      <c r="S77" s="21"/>
      <c r="T77" s="21"/>
      <c r="U77" s="7"/>
      <c r="V77" s="8"/>
      <c r="W77" s="8"/>
      <c r="X77" s="8"/>
      <c r="Y77" s="3"/>
      <c r="Z77" s="3"/>
      <c r="AT77" s="4"/>
      <c r="AU77" s="4"/>
      <c r="AV77" s="4"/>
      <c r="AW77" s="4"/>
      <c r="AX77" s="4"/>
      <c r="AY77" s="4"/>
      <c r="AZ77" s="53"/>
      <c r="BA77" s="53"/>
      <c r="BB77" s="53"/>
      <c r="BC77" s="53"/>
      <c r="BD77" s="53"/>
      <c r="BE77" s="53"/>
      <c r="BF77" s="53"/>
      <c r="BG77" s="53"/>
      <c r="BH77" s="53"/>
      <c r="BI77" s="53"/>
      <c r="BJ77" s="53"/>
    </row>
    <row r="78" spans="1:68" s="20" customFormat="1" x14ac:dyDescent="0.25">
      <c r="R78" s="21"/>
      <c r="S78" s="21"/>
      <c r="T78" s="21"/>
      <c r="U78" s="7"/>
      <c r="V78" s="8"/>
      <c r="W78" s="8"/>
      <c r="X78" s="8"/>
      <c r="Y78" s="3"/>
      <c r="Z78" s="3"/>
      <c r="AT78" s="4"/>
      <c r="AU78" s="4"/>
      <c r="AV78" s="4"/>
      <c r="AW78" s="4"/>
      <c r="AX78" s="4"/>
      <c r="AY78" s="4"/>
      <c r="AZ78" s="53"/>
      <c r="BA78" s="53"/>
      <c r="BB78" s="53"/>
      <c r="BC78" s="53"/>
      <c r="BD78" s="53"/>
      <c r="BE78" s="53"/>
      <c r="BF78" s="53"/>
      <c r="BG78" s="53"/>
      <c r="BH78" s="53"/>
      <c r="BI78" s="53"/>
      <c r="BJ78" s="53"/>
    </row>
    <row r="79" spans="1:68" s="20" customFormat="1" x14ac:dyDescent="0.25">
      <c r="R79" s="21"/>
      <c r="S79" s="21"/>
      <c r="T79" s="21"/>
      <c r="V79" s="3"/>
      <c r="W79" s="3"/>
      <c r="X79" s="3"/>
      <c r="Y79" s="3"/>
      <c r="Z79" s="3"/>
      <c r="AT79" s="4"/>
      <c r="AU79" s="4"/>
      <c r="AV79" s="4"/>
      <c r="AW79" s="4"/>
      <c r="AX79" s="4"/>
      <c r="AY79" s="4"/>
      <c r="AZ79" s="53"/>
      <c r="BA79" s="53"/>
      <c r="BB79" s="53"/>
      <c r="BC79" s="53"/>
      <c r="BD79" s="53"/>
      <c r="BE79" s="53"/>
      <c r="BF79" s="53"/>
      <c r="BG79" s="53"/>
      <c r="BH79" s="53"/>
      <c r="BI79" s="53"/>
      <c r="BJ79" s="53"/>
    </row>
    <row r="80" spans="1:68" s="20" customFormat="1" x14ac:dyDescent="0.25">
      <c r="R80" s="21"/>
      <c r="S80" s="21"/>
      <c r="T80" s="21"/>
      <c r="V80" s="3"/>
      <c r="W80" s="3"/>
      <c r="X80" s="3"/>
      <c r="Y80" s="3"/>
      <c r="Z80" s="3"/>
      <c r="AT80" s="4"/>
      <c r="AU80" s="4"/>
      <c r="AV80" s="4"/>
      <c r="AW80" s="4"/>
      <c r="AX80" s="4"/>
      <c r="AY80" s="4"/>
      <c r="AZ80" s="53"/>
      <c r="BA80" s="53"/>
      <c r="BB80" s="53"/>
      <c r="BC80" s="53"/>
      <c r="BD80" s="53"/>
      <c r="BE80" s="53"/>
      <c r="BF80" s="53"/>
      <c r="BG80" s="53"/>
      <c r="BH80" s="53"/>
      <c r="BI80" s="53"/>
      <c r="BJ80" s="53"/>
    </row>
    <row r="81" spans="18:62" s="20" customFormat="1" x14ac:dyDescent="0.25">
      <c r="R81" s="21"/>
      <c r="S81" s="21"/>
      <c r="T81" s="21"/>
      <c r="V81" s="3"/>
      <c r="W81" s="3"/>
      <c r="X81" s="3"/>
      <c r="Y81" s="3"/>
      <c r="Z81" s="3"/>
      <c r="AT81" s="4"/>
      <c r="AU81" s="4"/>
      <c r="AV81" s="4"/>
      <c r="AW81" s="4"/>
      <c r="AX81" s="4"/>
      <c r="AY81" s="4"/>
      <c r="AZ81" s="53"/>
      <c r="BA81" s="53"/>
      <c r="BB81" s="53"/>
      <c r="BC81" s="53"/>
      <c r="BD81" s="53"/>
      <c r="BE81" s="53"/>
      <c r="BF81" s="53"/>
      <c r="BG81" s="53"/>
      <c r="BH81" s="53"/>
      <c r="BI81" s="53"/>
      <c r="BJ81" s="53"/>
    </row>
    <row r="82" spans="18:62" s="20" customFormat="1" x14ac:dyDescent="0.25">
      <c r="R82" s="21"/>
      <c r="S82" s="21"/>
      <c r="T82" s="21"/>
      <c r="V82" s="3"/>
      <c r="W82" s="3"/>
      <c r="X82" s="3"/>
      <c r="Y82" s="3"/>
      <c r="Z82" s="3"/>
      <c r="AT82" s="4"/>
      <c r="AU82" s="4"/>
      <c r="AV82" s="4"/>
      <c r="AW82" s="4"/>
      <c r="AX82" s="4"/>
      <c r="AY82" s="4"/>
      <c r="AZ82" s="53"/>
      <c r="BA82" s="53"/>
      <c r="BB82" s="53"/>
      <c r="BC82" s="53"/>
      <c r="BD82" s="53"/>
      <c r="BE82" s="53"/>
      <c r="BF82" s="53"/>
      <c r="BG82" s="53"/>
      <c r="BH82" s="53"/>
      <c r="BI82" s="53"/>
      <c r="BJ82" s="53"/>
    </row>
    <row r="83" spans="18:62" s="20" customFormat="1" x14ac:dyDescent="0.25">
      <c r="R83" s="21"/>
      <c r="S83" s="21"/>
      <c r="T83" s="21"/>
      <c r="V83" s="3"/>
      <c r="W83" s="3"/>
      <c r="X83" s="3"/>
      <c r="Y83" s="3"/>
      <c r="Z83" s="3"/>
      <c r="AT83" s="4"/>
      <c r="AU83" s="4"/>
      <c r="AV83" s="4"/>
      <c r="AW83" s="4"/>
      <c r="AX83" s="4"/>
      <c r="AY83" s="4"/>
      <c r="AZ83" s="53"/>
      <c r="BA83" s="53"/>
      <c r="BB83" s="53"/>
      <c r="BC83" s="53"/>
      <c r="BD83" s="53"/>
      <c r="BE83" s="53"/>
      <c r="BF83" s="53"/>
      <c r="BG83" s="53"/>
      <c r="BH83" s="53"/>
      <c r="BI83" s="53"/>
      <c r="BJ83" s="53"/>
    </row>
    <row r="84" spans="18:62" s="20" customFormat="1" x14ac:dyDescent="0.25">
      <c r="R84" s="21"/>
      <c r="S84" s="21"/>
      <c r="T84" s="21"/>
      <c r="V84" s="3"/>
      <c r="W84" s="3"/>
      <c r="X84" s="3"/>
      <c r="Y84" s="3"/>
      <c r="Z84" s="3"/>
      <c r="AT84" s="4"/>
      <c r="AU84" s="4"/>
      <c r="AV84" s="4"/>
      <c r="AW84" s="4"/>
      <c r="AX84" s="4"/>
      <c r="AY84" s="4"/>
      <c r="AZ84" s="53"/>
      <c r="BA84" s="53"/>
      <c r="BB84" s="53"/>
      <c r="BC84" s="53"/>
      <c r="BD84" s="53"/>
      <c r="BE84" s="53"/>
      <c r="BF84" s="53"/>
      <c r="BG84" s="53"/>
      <c r="BH84" s="53"/>
      <c r="BI84" s="53"/>
      <c r="BJ84" s="53"/>
    </row>
    <row r="85" spans="18:62" s="20" customFormat="1" x14ac:dyDescent="0.25">
      <c r="R85" s="21"/>
      <c r="S85" s="21"/>
      <c r="T85" s="21"/>
      <c r="V85" s="3"/>
      <c r="W85" s="3"/>
      <c r="X85" s="3"/>
      <c r="Y85" s="3"/>
      <c r="Z85" s="3"/>
      <c r="AT85" s="4"/>
      <c r="AU85" s="4"/>
      <c r="AV85" s="4"/>
      <c r="AW85" s="4"/>
      <c r="AX85" s="4"/>
      <c r="AY85" s="4"/>
      <c r="AZ85" s="53"/>
      <c r="BA85" s="53"/>
      <c r="BB85" s="53"/>
      <c r="BC85" s="53"/>
      <c r="BD85" s="53"/>
      <c r="BE85" s="53"/>
      <c r="BF85" s="53"/>
      <c r="BG85" s="53"/>
      <c r="BH85" s="53"/>
      <c r="BI85" s="53"/>
      <c r="BJ85" s="53"/>
    </row>
    <row r="86" spans="18:62" s="20" customFormat="1" x14ac:dyDescent="0.25">
      <c r="R86" s="21"/>
      <c r="S86" s="21"/>
      <c r="T86" s="21"/>
      <c r="V86" s="3"/>
      <c r="W86" s="3"/>
      <c r="X86" s="3"/>
      <c r="Y86" s="3"/>
      <c r="Z86" s="3"/>
      <c r="AT86" s="4"/>
      <c r="AU86" s="4"/>
      <c r="AV86" s="4"/>
      <c r="AW86" s="4"/>
      <c r="AX86" s="4"/>
      <c r="AY86" s="4"/>
      <c r="AZ86" s="53"/>
      <c r="BA86" s="53"/>
      <c r="BB86" s="53"/>
      <c r="BC86" s="53"/>
      <c r="BD86" s="53"/>
      <c r="BE86" s="53"/>
      <c r="BF86" s="53"/>
      <c r="BG86" s="53"/>
      <c r="BH86" s="53"/>
      <c r="BI86" s="53"/>
      <c r="BJ86" s="53"/>
    </row>
    <row r="87" spans="18:62" s="20" customFormat="1" x14ac:dyDescent="0.25">
      <c r="R87" s="21"/>
      <c r="S87" s="21"/>
      <c r="T87" s="21"/>
      <c r="V87" s="3"/>
      <c r="W87" s="3"/>
      <c r="X87" s="3"/>
      <c r="Y87" s="3"/>
      <c r="Z87" s="3"/>
      <c r="AT87" s="4"/>
      <c r="AU87" s="4"/>
      <c r="AV87" s="4"/>
      <c r="AW87" s="4"/>
      <c r="AX87" s="4"/>
      <c r="AY87" s="4"/>
      <c r="AZ87" s="53"/>
      <c r="BA87" s="53"/>
      <c r="BB87" s="53"/>
      <c r="BC87" s="53"/>
      <c r="BD87" s="53"/>
      <c r="BE87" s="53"/>
      <c r="BF87" s="53"/>
      <c r="BG87" s="53"/>
      <c r="BH87" s="53"/>
      <c r="BI87" s="53"/>
      <c r="BJ87" s="53"/>
    </row>
    <row r="88" spans="18:62" s="20" customFormat="1" x14ac:dyDescent="0.25">
      <c r="R88" s="21"/>
      <c r="S88" s="21"/>
      <c r="T88" s="21"/>
      <c r="V88" s="3"/>
      <c r="W88" s="3"/>
      <c r="X88" s="3"/>
      <c r="Y88" s="3"/>
      <c r="Z88" s="3"/>
      <c r="AT88" s="4"/>
      <c r="AU88" s="4"/>
      <c r="AV88" s="4"/>
      <c r="AW88" s="4"/>
      <c r="AX88" s="4"/>
      <c r="AY88" s="4"/>
      <c r="AZ88" s="53"/>
      <c r="BA88" s="53"/>
      <c r="BB88" s="53"/>
      <c r="BC88" s="53"/>
      <c r="BD88" s="53"/>
      <c r="BE88" s="53"/>
      <c r="BF88" s="53"/>
      <c r="BG88" s="53"/>
      <c r="BH88" s="53"/>
      <c r="BI88" s="53"/>
      <c r="BJ88" s="53"/>
    </row>
    <row r="89" spans="18:62" s="20" customFormat="1" x14ac:dyDescent="0.25">
      <c r="R89" s="21"/>
      <c r="S89" s="21"/>
      <c r="T89" s="21"/>
      <c r="V89" s="3"/>
      <c r="W89" s="3"/>
      <c r="X89" s="3"/>
      <c r="Y89" s="3"/>
      <c r="Z89" s="3"/>
      <c r="AT89" s="4"/>
      <c r="AU89" s="4"/>
      <c r="AV89" s="4"/>
      <c r="AW89" s="4"/>
      <c r="AX89" s="4"/>
      <c r="AY89" s="4"/>
      <c r="AZ89" s="53"/>
      <c r="BA89" s="53"/>
      <c r="BB89" s="53"/>
      <c r="BC89" s="53"/>
      <c r="BD89" s="53"/>
      <c r="BE89" s="53"/>
      <c r="BF89" s="53"/>
      <c r="BG89" s="53"/>
      <c r="BH89" s="53"/>
      <c r="BI89" s="53"/>
      <c r="BJ89" s="53"/>
    </row>
    <row r="90" spans="18:62" s="20" customFormat="1" x14ac:dyDescent="0.25">
      <c r="R90" s="21"/>
      <c r="S90" s="21"/>
      <c r="T90" s="21"/>
      <c r="V90" s="3"/>
      <c r="W90" s="3"/>
      <c r="X90" s="3"/>
      <c r="Y90" s="3"/>
      <c r="Z90" s="3"/>
      <c r="AT90" s="4"/>
      <c r="AU90" s="4"/>
      <c r="AV90" s="4"/>
      <c r="AW90" s="4"/>
      <c r="AX90" s="4"/>
      <c r="AY90" s="4"/>
      <c r="AZ90" s="53"/>
      <c r="BA90" s="53"/>
      <c r="BB90" s="53"/>
      <c r="BC90" s="53"/>
      <c r="BD90" s="53"/>
      <c r="BE90" s="53"/>
      <c r="BF90" s="53"/>
      <c r="BG90" s="53"/>
      <c r="BH90" s="53"/>
      <c r="BI90" s="53"/>
      <c r="BJ90" s="53"/>
    </row>
    <row r="91" spans="18:62" s="20" customFormat="1" x14ac:dyDescent="0.25">
      <c r="R91" s="21"/>
      <c r="S91" s="21"/>
      <c r="T91" s="21"/>
      <c r="V91" s="3"/>
      <c r="W91" s="3"/>
      <c r="X91" s="3"/>
      <c r="Y91" s="3"/>
      <c r="Z91" s="3"/>
      <c r="AT91" s="4"/>
      <c r="AU91" s="4"/>
      <c r="AV91" s="4"/>
      <c r="AW91" s="4"/>
      <c r="AX91" s="4"/>
      <c r="AY91" s="4"/>
      <c r="AZ91" s="53"/>
      <c r="BA91" s="53"/>
      <c r="BB91" s="53"/>
      <c r="BC91" s="53"/>
      <c r="BD91" s="53"/>
      <c r="BE91" s="53"/>
      <c r="BF91" s="53"/>
      <c r="BG91" s="53"/>
      <c r="BH91" s="53"/>
      <c r="BI91" s="53"/>
      <c r="BJ91" s="53"/>
    </row>
    <row r="92" spans="18:62" s="20" customFormat="1" x14ac:dyDescent="0.25">
      <c r="R92" s="21"/>
      <c r="S92" s="21"/>
      <c r="T92" s="21"/>
      <c r="V92" s="3"/>
      <c r="W92" s="3"/>
      <c r="X92" s="3"/>
      <c r="Y92" s="3"/>
      <c r="Z92" s="3"/>
      <c r="AT92" s="4"/>
      <c r="AU92" s="4"/>
      <c r="AV92" s="4"/>
      <c r="AW92" s="4"/>
      <c r="AX92" s="4"/>
      <c r="AY92" s="4"/>
      <c r="AZ92" s="53"/>
      <c r="BA92" s="53"/>
      <c r="BB92" s="53"/>
      <c r="BC92" s="53"/>
      <c r="BD92" s="53"/>
      <c r="BE92" s="53"/>
      <c r="BF92" s="53"/>
      <c r="BG92" s="53"/>
      <c r="BH92" s="53"/>
      <c r="BI92" s="53"/>
      <c r="BJ92" s="53"/>
    </row>
    <row r="93" spans="18:62" s="20" customFormat="1" x14ac:dyDescent="0.25">
      <c r="R93" s="21"/>
      <c r="S93" s="21"/>
      <c r="T93" s="21"/>
      <c r="V93" s="3"/>
      <c r="W93" s="3"/>
      <c r="X93" s="3"/>
      <c r="Y93" s="3"/>
      <c r="Z93" s="3"/>
      <c r="AT93" s="4"/>
      <c r="AU93" s="4"/>
      <c r="AV93" s="4"/>
      <c r="AW93" s="4"/>
      <c r="AX93" s="4"/>
      <c r="AY93" s="4"/>
      <c r="AZ93" s="53"/>
      <c r="BA93" s="53"/>
      <c r="BB93" s="53"/>
      <c r="BC93" s="53"/>
      <c r="BD93" s="53"/>
      <c r="BE93" s="53"/>
      <c r="BF93" s="53"/>
      <c r="BG93" s="53"/>
      <c r="BH93" s="53"/>
      <c r="BI93" s="53"/>
      <c r="BJ93" s="53"/>
    </row>
    <row r="94" spans="18:62" s="20" customFormat="1" x14ac:dyDescent="0.25">
      <c r="R94" s="21"/>
      <c r="S94" s="21"/>
      <c r="T94" s="21"/>
      <c r="V94" s="3"/>
      <c r="W94" s="3"/>
      <c r="X94" s="3"/>
      <c r="Y94" s="3"/>
      <c r="Z94" s="3"/>
      <c r="AT94" s="4"/>
      <c r="AU94" s="4"/>
      <c r="AV94" s="4"/>
      <c r="AW94" s="4"/>
      <c r="AX94" s="4"/>
      <c r="AY94" s="4"/>
      <c r="AZ94" s="53"/>
      <c r="BA94" s="53"/>
      <c r="BB94" s="53"/>
      <c r="BC94" s="53"/>
      <c r="BD94" s="53"/>
      <c r="BE94" s="53"/>
      <c r="BF94" s="53"/>
      <c r="BG94" s="53"/>
      <c r="BH94" s="53"/>
      <c r="BI94" s="53"/>
      <c r="BJ94" s="53"/>
    </row>
    <row r="95" spans="18:62" s="20" customFormat="1" x14ac:dyDescent="0.25">
      <c r="R95" s="21"/>
      <c r="S95" s="21"/>
      <c r="T95" s="21"/>
      <c r="V95" s="3"/>
      <c r="W95" s="3"/>
      <c r="X95" s="3"/>
      <c r="Y95" s="3"/>
      <c r="Z95" s="3"/>
      <c r="AT95" s="4"/>
      <c r="AU95" s="4"/>
      <c r="AV95" s="4"/>
      <c r="AW95" s="4"/>
      <c r="AX95" s="4"/>
      <c r="AY95" s="4"/>
      <c r="AZ95" s="53"/>
      <c r="BA95" s="53"/>
      <c r="BB95" s="53"/>
      <c r="BC95" s="53"/>
      <c r="BD95" s="53"/>
      <c r="BE95" s="53"/>
      <c r="BF95" s="53"/>
      <c r="BG95" s="53"/>
      <c r="BH95" s="53"/>
      <c r="BI95" s="53"/>
      <c r="BJ95" s="53"/>
    </row>
    <row r="96" spans="18:62" s="20" customFormat="1" x14ac:dyDescent="0.25">
      <c r="R96" s="21"/>
      <c r="S96" s="21"/>
      <c r="T96" s="21"/>
      <c r="V96" s="3"/>
      <c r="W96" s="3"/>
      <c r="X96" s="3"/>
      <c r="Y96" s="3"/>
      <c r="Z96" s="3"/>
      <c r="AT96" s="4"/>
      <c r="AU96" s="4"/>
      <c r="AV96" s="4"/>
      <c r="AW96" s="4"/>
      <c r="AX96" s="4"/>
      <c r="AY96" s="4"/>
      <c r="AZ96" s="53"/>
      <c r="BA96" s="53"/>
      <c r="BB96" s="53"/>
      <c r="BC96" s="53"/>
      <c r="BD96" s="53"/>
      <c r="BE96" s="53"/>
      <c r="BF96" s="53"/>
      <c r="BG96" s="53"/>
      <c r="BH96" s="53"/>
      <c r="BI96" s="53"/>
      <c r="BJ96" s="53"/>
    </row>
    <row r="97" spans="18:62" s="20" customFormat="1" x14ac:dyDescent="0.25">
      <c r="R97" s="21"/>
      <c r="S97" s="21"/>
      <c r="T97" s="21"/>
      <c r="V97" s="3"/>
      <c r="W97" s="3"/>
      <c r="X97" s="3"/>
      <c r="Y97" s="3"/>
      <c r="Z97" s="3"/>
      <c r="AT97" s="4"/>
      <c r="AU97" s="4"/>
      <c r="AV97" s="4"/>
      <c r="AW97" s="4"/>
      <c r="AX97" s="4"/>
      <c r="AY97" s="4"/>
      <c r="AZ97" s="53"/>
      <c r="BA97" s="53"/>
      <c r="BB97" s="53"/>
      <c r="BC97" s="53"/>
      <c r="BD97" s="53"/>
      <c r="BE97" s="53"/>
      <c r="BF97" s="53"/>
      <c r="BG97" s="53"/>
      <c r="BH97" s="53"/>
      <c r="BI97" s="53"/>
      <c r="BJ97" s="53"/>
    </row>
    <row r="98" spans="18:62" s="20" customFormat="1" x14ac:dyDescent="0.25">
      <c r="R98" s="21"/>
      <c r="S98" s="21"/>
      <c r="T98" s="21"/>
      <c r="V98" s="3"/>
      <c r="W98" s="3"/>
      <c r="X98" s="3"/>
      <c r="Y98" s="3"/>
      <c r="Z98" s="3"/>
      <c r="AT98" s="4"/>
      <c r="AU98" s="4"/>
      <c r="AV98" s="4"/>
      <c r="AW98" s="4"/>
      <c r="AX98" s="4"/>
      <c r="AY98" s="4"/>
      <c r="AZ98" s="53"/>
      <c r="BA98" s="53"/>
      <c r="BB98" s="53"/>
      <c r="BC98" s="53"/>
      <c r="BD98" s="53"/>
      <c r="BE98" s="53"/>
      <c r="BF98" s="53"/>
      <c r="BG98" s="53"/>
      <c r="BH98" s="53"/>
      <c r="BI98" s="53"/>
      <c r="BJ98" s="53"/>
    </row>
    <row r="99" spans="18:62" s="20" customFormat="1" x14ac:dyDescent="0.25">
      <c r="R99" s="21"/>
      <c r="S99" s="21"/>
      <c r="T99" s="21"/>
      <c r="V99" s="3"/>
      <c r="W99" s="3"/>
      <c r="X99" s="3"/>
      <c r="Y99" s="3"/>
      <c r="Z99" s="3"/>
      <c r="AT99" s="4"/>
      <c r="AU99" s="4"/>
      <c r="AV99" s="4"/>
      <c r="AW99" s="4"/>
      <c r="AX99" s="4"/>
      <c r="AY99" s="4"/>
      <c r="AZ99" s="53"/>
      <c r="BA99" s="53"/>
      <c r="BB99" s="53"/>
      <c r="BC99" s="53"/>
      <c r="BD99" s="53"/>
      <c r="BE99" s="53"/>
      <c r="BF99" s="53"/>
      <c r="BG99" s="53"/>
      <c r="BH99" s="53"/>
      <c r="BI99" s="53"/>
      <c r="BJ99" s="53"/>
    </row>
    <row r="100" spans="18:62" s="20" customFormat="1" x14ac:dyDescent="0.25">
      <c r="R100" s="21"/>
      <c r="S100" s="21"/>
      <c r="T100" s="21"/>
      <c r="V100" s="3"/>
      <c r="W100" s="3"/>
      <c r="X100" s="3"/>
      <c r="Y100" s="3"/>
      <c r="Z100" s="3"/>
      <c r="AT100" s="4"/>
      <c r="AU100" s="4"/>
      <c r="AV100" s="4"/>
      <c r="AW100" s="4"/>
      <c r="AX100" s="4"/>
      <c r="AY100" s="4"/>
      <c r="AZ100" s="53"/>
      <c r="BA100" s="53"/>
      <c r="BB100" s="53"/>
      <c r="BC100" s="53"/>
      <c r="BD100" s="53"/>
      <c r="BE100" s="53"/>
      <c r="BF100" s="53"/>
      <c r="BG100" s="53"/>
      <c r="BH100" s="53"/>
      <c r="BI100" s="53"/>
      <c r="BJ100" s="53"/>
    </row>
    <row r="101" spans="18:62" s="20" customFormat="1" x14ac:dyDescent="0.25">
      <c r="R101" s="21"/>
      <c r="S101" s="21"/>
      <c r="T101" s="21"/>
      <c r="V101" s="3"/>
      <c r="W101" s="3"/>
      <c r="X101" s="3"/>
      <c r="Y101" s="3"/>
      <c r="Z101" s="3"/>
      <c r="AT101" s="4"/>
      <c r="AU101" s="4"/>
      <c r="AV101" s="4"/>
      <c r="AW101" s="4"/>
      <c r="AX101" s="4"/>
      <c r="AY101" s="4"/>
      <c r="AZ101" s="53"/>
      <c r="BA101" s="53"/>
      <c r="BB101" s="53"/>
      <c r="BC101" s="53"/>
      <c r="BD101" s="53"/>
      <c r="BE101" s="53"/>
      <c r="BF101" s="53"/>
      <c r="BG101" s="53"/>
      <c r="BH101" s="53"/>
      <c r="BI101" s="53"/>
      <c r="BJ101" s="53"/>
    </row>
    <row r="102" spans="18:62" s="20" customFormat="1" x14ac:dyDescent="0.25">
      <c r="R102" s="21"/>
      <c r="S102" s="21"/>
      <c r="T102" s="21"/>
      <c r="V102" s="3"/>
      <c r="W102" s="3"/>
      <c r="X102" s="3"/>
      <c r="Y102" s="3"/>
      <c r="Z102" s="3"/>
      <c r="AT102" s="4"/>
      <c r="AU102" s="4"/>
      <c r="AV102" s="4"/>
      <c r="AW102" s="4"/>
      <c r="AX102" s="4"/>
      <c r="AY102" s="4"/>
      <c r="AZ102" s="53"/>
      <c r="BA102" s="53"/>
      <c r="BB102" s="53"/>
      <c r="BC102" s="53"/>
      <c r="BD102" s="53"/>
      <c r="BE102" s="53"/>
      <c r="BF102" s="53"/>
      <c r="BG102" s="53"/>
      <c r="BH102" s="53"/>
      <c r="BI102" s="53"/>
      <c r="BJ102" s="53"/>
    </row>
    <row r="103" spans="18:62" s="20" customFormat="1" x14ac:dyDescent="0.25">
      <c r="R103" s="21"/>
      <c r="S103" s="21"/>
      <c r="T103" s="21"/>
      <c r="V103" s="3"/>
      <c r="W103" s="3"/>
      <c r="X103" s="3"/>
      <c r="Y103" s="3"/>
      <c r="Z103" s="3"/>
      <c r="AT103" s="4"/>
      <c r="AU103" s="4"/>
      <c r="AV103" s="4"/>
      <c r="AW103" s="4"/>
      <c r="AX103" s="4"/>
      <c r="AY103" s="4"/>
      <c r="AZ103" s="53"/>
      <c r="BA103" s="53"/>
      <c r="BB103" s="53"/>
      <c r="BC103" s="53"/>
      <c r="BD103" s="53"/>
      <c r="BE103" s="53"/>
      <c r="BF103" s="53"/>
      <c r="BG103" s="53"/>
      <c r="BH103" s="53"/>
      <c r="BI103" s="53"/>
      <c r="BJ103" s="53"/>
    </row>
    <row r="104" spans="18:62" s="20" customFormat="1" x14ac:dyDescent="0.25">
      <c r="R104" s="21"/>
      <c r="S104" s="21"/>
      <c r="T104" s="21"/>
      <c r="V104" s="3"/>
      <c r="W104" s="3"/>
      <c r="X104" s="3"/>
      <c r="Y104" s="3"/>
      <c r="Z104" s="3"/>
      <c r="AT104" s="4"/>
      <c r="AU104" s="4"/>
      <c r="AV104" s="4"/>
      <c r="AW104" s="4"/>
      <c r="AX104" s="4"/>
      <c r="AY104" s="4"/>
      <c r="AZ104" s="53"/>
      <c r="BA104" s="53"/>
      <c r="BB104" s="53"/>
      <c r="BC104" s="53"/>
      <c r="BD104" s="53"/>
      <c r="BE104" s="53"/>
      <c r="BF104" s="53"/>
      <c r="BG104" s="53"/>
      <c r="BH104" s="53"/>
      <c r="BI104" s="53"/>
      <c r="BJ104" s="53"/>
    </row>
    <row r="105" spans="18:62" s="20" customFormat="1" x14ac:dyDescent="0.25">
      <c r="R105" s="21"/>
      <c r="S105" s="21"/>
      <c r="T105" s="21"/>
      <c r="V105" s="3"/>
      <c r="W105" s="3"/>
      <c r="X105" s="3"/>
      <c r="Y105" s="3"/>
      <c r="Z105" s="3"/>
      <c r="AT105" s="4"/>
      <c r="AU105" s="4"/>
      <c r="AV105" s="4"/>
      <c r="AW105" s="4"/>
      <c r="AX105" s="4"/>
      <c r="AY105" s="4"/>
      <c r="AZ105" s="53"/>
      <c r="BA105" s="53"/>
      <c r="BB105" s="53"/>
      <c r="BC105" s="53"/>
      <c r="BD105" s="53"/>
      <c r="BE105" s="53"/>
      <c r="BF105" s="53"/>
      <c r="BG105" s="53"/>
      <c r="BH105" s="53"/>
      <c r="BI105" s="53"/>
      <c r="BJ105" s="53"/>
    </row>
    <row r="106" spans="18:62" s="20" customFormat="1" x14ac:dyDescent="0.25">
      <c r="R106" s="21"/>
      <c r="S106" s="21"/>
      <c r="T106" s="21"/>
      <c r="V106" s="3"/>
      <c r="W106" s="3"/>
      <c r="X106" s="3"/>
      <c r="Y106" s="3"/>
      <c r="Z106" s="3"/>
      <c r="AT106" s="4"/>
      <c r="AU106" s="4"/>
      <c r="AV106" s="4"/>
      <c r="AW106" s="4"/>
      <c r="AX106" s="4"/>
      <c r="AY106" s="4"/>
      <c r="AZ106" s="53"/>
      <c r="BA106" s="53"/>
      <c r="BB106" s="53"/>
      <c r="BC106" s="53"/>
      <c r="BD106" s="53"/>
      <c r="BE106" s="53"/>
      <c r="BF106" s="53"/>
      <c r="BG106" s="53"/>
      <c r="BH106" s="53"/>
      <c r="BI106" s="53"/>
      <c r="BJ106" s="53"/>
    </row>
    <row r="107" spans="18:62" s="20" customFormat="1" x14ac:dyDescent="0.25">
      <c r="R107" s="21"/>
      <c r="S107" s="21"/>
      <c r="T107" s="21"/>
      <c r="V107" s="3"/>
      <c r="W107" s="3"/>
      <c r="X107" s="3"/>
      <c r="Y107" s="3"/>
      <c r="Z107" s="3"/>
      <c r="AT107" s="4"/>
      <c r="AU107" s="4"/>
      <c r="AV107" s="4"/>
      <c r="AW107" s="4"/>
      <c r="AX107" s="4"/>
      <c r="AY107" s="4"/>
      <c r="AZ107" s="53"/>
      <c r="BA107" s="53"/>
      <c r="BB107" s="53"/>
      <c r="BC107" s="53"/>
      <c r="BD107" s="53"/>
      <c r="BE107" s="53"/>
      <c r="BF107" s="53"/>
      <c r="BG107" s="53"/>
      <c r="BH107" s="53"/>
      <c r="BI107" s="53"/>
      <c r="BJ107" s="53"/>
    </row>
    <row r="108" spans="18:62" s="20" customFormat="1" x14ac:dyDescent="0.25">
      <c r="R108" s="21"/>
      <c r="S108" s="21"/>
      <c r="T108" s="21"/>
      <c r="V108" s="3"/>
      <c r="W108" s="3"/>
      <c r="X108" s="3"/>
      <c r="Y108" s="3"/>
      <c r="Z108" s="3"/>
      <c r="AT108" s="4"/>
      <c r="AU108" s="4"/>
      <c r="AV108" s="4"/>
      <c r="AW108" s="4"/>
      <c r="AX108" s="4"/>
      <c r="AY108" s="4"/>
      <c r="AZ108" s="53"/>
      <c r="BA108" s="53"/>
      <c r="BB108" s="53"/>
      <c r="BC108" s="53"/>
      <c r="BD108" s="53"/>
      <c r="BE108" s="53"/>
      <c r="BF108" s="53"/>
      <c r="BG108" s="53"/>
      <c r="BH108" s="53"/>
      <c r="BI108" s="53"/>
      <c r="BJ108" s="53"/>
    </row>
    <row r="109" spans="18:62" s="20" customFormat="1" x14ac:dyDescent="0.25">
      <c r="R109" s="21"/>
      <c r="S109" s="21"/>
      <c r="T109" s="21"/>
      <c r="V109" s="3"/>
      <c r="W109" s="3"/>
      <c r="X109" s="3"/>
      <c r="Y109" s="3"/>
      <c r="Z109" s="3"/>
      <c r="AT109" s="4"/>
      <c r="AU109" s="4"/>
      <c r="AV109" s="4"/>
      <c r="AW109" s="4"/>
      <c r="AX109" s="4"/>
      <c r="AY109" s="4"/>
      <c r="AZ109" s="53"/>
      <c r="BA109" s="53"/>
      <c r="BB109" s="53"/>
      <c r="BC109" s="53"/>
      <c r="BD109" s="53"/>
      <c r="BE109" s="53"/>
      <c r="BF109" s="53"/>
      <c r="BG109" s="53"/>
      <c r="BH109" s="53"/>
      <c r="BI109" s="53"/>
      <c r="BJ109" s="53"/>
    </row>
    <row r="110" spans="18:62" s="20" customFormat="1" x14ac:dyDescent="0.25">
      <c r="R110" s="21"/>
      <c r="S110" s="21"/>
      <c r="T110" s="21"/>
      <c r="V110" s="3"/>
      <c r="W110" s="3"/>
      <c r="X110" s="3"/>
      <c r="Y110" s="3"/>
      <c r="Z110" s="3"/>
      <c r="AT110" s="4"/>
      <c r="AU110" s="4"/>
      <c r="AV110" s="4"/>
      <c r="AW110" s="4"/>
      <c r="AX110" s="4"/>
      <c r="AY110" s="4"/>
      <c r="AZ110" s="53"/>
      <c r="BA110" s="53"/>
      <c r="BB110" s="53"/>
      <c r="BC110" s="53"/>
      <c r="BD110" s="53"/>
      <c r="BE110" s="53"/>
      <c r="BF110" s="53"/>
      <c r="BG110" s="53"/>
      <c r="BH110" s="53"/>
      <c r="BI110" s="53"/>
      <c r="BJ110" s="53"/>
    </row>
    <row r="111" spans="18:62" s="20" customFormat="1" x14ac:dyDescent="0.25">
      <c r="R111" s="21"/>
      <c r="S111" s="21"/>
      <c r="T111" s="21"/>
      <c r="V111" s="3"/>
      <c r="W111" s="3"/>
      <c r="X111" s="3"/>
      <c r="Y111" s="3"/>
      <c r="Z111" s="3"/>
      <c r="AT111" s="4"/>
      <c r="AU111" s="4"/>
      <c r="AV111" s="4"/>
      <c r="AW111" s="4"/>
      <c r="AX111" s="4"/>
      <c r="AY111" s="4"/>
      <c r="AZ111" s="53"/>
      <c r="BA111" s="53"/>
      <c r="BB111" s="53"/>
      <c r="BC111" s="53"/>
      <c r="BD111" s="53"/>
      <c r="BE111" s="53"/>
      <c r="BF111" s="53"/>
      <c r="BG111" s="53"/>
      <c r="BH111" s="53"/>
      <c r="BI111" s="53"/>
      <c r="BJ111" s="53"/>
    </row>
    <row r="112" spans="18:62" s="20" customFormat="1" x14ac:dyDescent="0.25">
      <c r="R112" s="21"/>
      <c r="S112" s="21"/>
      <c r="T112" s="21"/>
      <c r="V112" s="3"/>
      <c r="W112" s="3"/>
      <c r="X112" s="3"/>
      <c r="Y112" s="3"/>
      <c r="Z112" s="3"/>
      <c r="AT112" s="4"/>
      <c r="AU112" s="4"/>
      <c r="AV112" s="4"/>
      <c r="AW112" s="4"/>
      <c r="AX112" s="4"/>
      <c r="AY112" s="4"/>
      <c r="AZ112" s="53"/>
      <c r="BA112" s="53"/>
      <c r="BB112" s="53"/>
      <c r="BC112" s="53"/>
      <c r="BD112" s="53"/>
      <c r="BE112" s="53"/>
      <c r="BF112" s="53"/>
      <c r="BG112" s="53"/>
      <c r="BH112" s="53"/>
      <c r="BI112" s="53"/>
      <c r="BJ112" s="53"/>
    </row>
    <row r="113" spans="18:62" s="20" customFormat="1" x14ac:dyDescent="0.25">
      <c r="R113" s="21"/>
      <c r="S113" s="21"/>
      <c r="T113" s="21"/>
      <c r="V113" s="3"/>
      <c r="W113" s="3"/>
      <c r="X113" s="3"/>
      <c r="Y113" s="3"/>
      <c r="Z113" s="3"/>
      <c r="AT113" s="4"/>
      <c r="AU113" s="4"/>
      <c r="AV113" s="4"/>
      <c r="AW113" s="4"/>
      <c r="AX113" s="4"/>
      <c r="AY113" s="4"/>
      <c r="AZ113" s="53"/>
      <c r="BA113" s="53"/>
      <c r="BB113" s="53"/>
      <c r="BC113" s="53"/>
      <c r="BD113" s="53"/>
      <c r="BE113" s="53"/>
      <c r="BF113" s="53"/>
      <c r="BG113" s="53"/>
      <c r="BH113" s="53"/>
      <c r="BI113" s="53"/>
      <c r="BJ113" s="53"/>
    </row>
    <row r="114" spans="18:62" s="20" customFormat="1" x14ac:dyDescent="0.25">
      <c r="R114" s="21"/>
      <c r="S114" s="21"/>
      <c r="T114" s="21"/>
      <c r="V114" s="3"/>
      <c r="W114" s="3"/>
      <c r="X114" s="3"/>
      <c r="Y114" s="3"/>
      <c r="Z114" s="3"/>
      <c r="AT114" s="4"/>
      <c r="AU114" s="4"/>
      <c r="AV114" s="4"/>
      <c r="AW114" s="4"/>
      <c r="AX114" s="4"/>
      <c r="AY114" s="4"/>
      <c r="AZ114" s="53"/>
      <c r="BA114" s="53"/>
      <c r="BB114" s="53"/>
      <c r="BC114" s="53"/>
      <c r="BD114" s="53"/>
      <c r="BE114" s="53"/>
      <c r="BF114" s="53"/>
      <c r="BG114" s="53"/>
      <c r="BH114" s="53"/>
      <c r="BI114" s="53"/>
      <c r="BJ114" s="53"/>
    </row>
    <row r="115" spans="18:62" s="20" customFormat="1" x14ac:dyDescent="0.25">
      <c r="R115" s="21"/>
      <c r="S115" s="21"/>
      <c r="T115" s="21"/>
      <c r="V115" s="3"/>
      <c r="W115" s="3"/>
      <c r="X115" s="3"/>
      <c r="Y115" s="3"/>
      <c r="Z115" s="3"/>
      <c r="AT115" s="4"/>
      <c r="AU115" s="4"/>
      <c r="AV115" s="4"/>
      <c r="AW115" s="4"/>
      <c r="AX115" s="4"/>
      <c r="AY115" s="4"/>
      <c r="AZ115" s="53"/>
      <c r="BA115" s="53"/>
      <c r="BB115" s="53"/>
      <c r="BC115" s="53"/>
      <c r="BD115" s="53"/>
      <c r="BE115" s="53"/>
      <c r="BF115" s="53"/>
      <c r="BG115" s="53"/>
      <c r="BH115" s="53"/>
      <c r="BI115" s="53"/>
      <c r="BJ115" s="53"/>
    </row>
    <row r="116" spans="18:62" s="20" customFormat="1" x14ac:dyDescent="0.25">
      <c r="R116" s="21"/>
      <c r="S116" s="21"/>
      <c r="T116" s="21"/>
      <c r="V116" s="3"/>
      <c r="W116" s="3"/>
      <c r="X116" s="3"/>
      <c r="Y116" s="3"/>
      <c r="Z116" s="3"/>
      <c r="AT116" s="4"/>
      <c r="AU116" s="4"/>
      <c r="AV116" s="4"/>
      <c r="AW116" s="4"/>
      <c r="AX116" s="4"/>
      <c r="AY116" s="4"/>
      <c r="AZ116" s="53"/>
      <c r="BA116" s="53"/>
      <c r="BB116" s="53"/>
      <c r="BC116" s="53"/>
      <c r="BD116" s="53"/>
      <c r="BE116" s="53"/>
      <c r="BF116" s="53"/>
      <c r="BG116" s="53"/>
      <c r="BH116" s="53"/>
      <c r="BI116" s="53"/>
      <c r="BJ116" s="53"/>
    </row>
    <row r="117" spans="18:62" s="20" customFormat="1" x14ac:dyDescent="0.25">
      <c r="R117" s="21"/>
      <c r="S117" s="21"/>
      <c r="T117" s="21"/>
      <c r="V117" s="3"/>
      <c r="W117" s="3"/>
      <c r="X117" s="3"/>
      <c r="Y117" s="3"/>
      <c r="Z117" s="3"/>
      <c r="AT117" s="4"/>
      <c r="AU117" s="4"/>
      <c r="AV117" s="4"/>
      <c r="AW117" s="4"/>
      <c r="AX117" s="4"/>
      <c r="AY117" s="4"/>
      <c r="AZ117" s="53"/>
      <c r="BA117" s="53"/>
      <c r="BB117" s="53"/>
      <c r="BC117" s="53"/>
      <c r="BD117" s="53"/>
      <c r="BE117" s="53"/>
      <c r="BF117" s="53"/>
      <c r="BG117" s="53"/>
      <c r="BH117" s="53"/>
      <c r="BI117" s="53"/>
      <c r="BJ117" s="53"/>
    </row>
    <row r="118" spans="18:62" s="20" customFormat="1" x14ac:dyDescent="0.25">
      <c r="R118" s="21"/>
      <c r="S118" s="21"/>
      <c r="T118" s="21"/>
      <c r="V118" s="3"/>
      <c r="W118" s="3"/>
      <c r="X118" s="3"/>
      <c r="Y118" s="3"/>
      <c r="Z118" s="3"/>
      <c r="AT118" s="4"/>
      <c r="AU118" s="4"/>
      <c r="AV118" s="4"/>
      <c r="AW118" s="4"/>
      <c r="AX118" s="4"/>
      <c r="AY118" s="4"/>
      <c r="AZ118" s="53"/>
      <c r="BA118" s="53"/>
      <c r="BB118" s="53"/>
      <c r="BC118" s="53"/>
      <c r="BD118" s="53"/>
      <c r="BE118" s="53"/>
      <c r="BF118" s="53"/>
      <c r="BG118" s="53"/>
      <c r="BH118" s="53"/>
      <c r="BI118" s="53"/>
      <c r="BJ118" s="53"/>
    </row>
    <row r="119" spans="18:62" s="20" customFormat="1" x14ac:dyDescent="0.25">
      <c r="R119" s="21"/>
      <c r="S119" s="21"/>
      <c r="T119" s="21"/>
      <c r="V119" s="3"/>
      <c r="W119" s="3"/>
      <c r="X119" s="3"/>
      <c r="Y119" s="3"/>
      <c r="Z119" s="3"/>
      <c r="AT119" s="4"/>
      <c r="AU119" s="4"/>
      <c r="AV119" s="4"/>
      <c r="AW119" s="4"/>
      <c r="AX119" s="4"/>
      <c r="AY119" s="4"/>
      <c r="AZ119" s="53"/>
      <c r="BA119" s="53"/>
      <c r="BB119" s="53"/>
      <c r="BC119" s="53"/>
      <c r="BD119" s="53"/>
      <c r="BE119" s="53"/>
      <c r="BF119" s="53"/>
      <c r="BG119" s="53"/>
      <c r="BH119" s="53"/>
      <c r="BI119" s="53"/>
      <c r="BJ119" s="53"/>
    </row>
    <row r="120" spans="18:62" s="20" customFormat="1" x14ac:dyDescent="0.25">
      <c r="R120" s="21"/>
      <c r="S120" s="21"/>
      <c r="T120" s="21"/>
      <c r="V120" s="3"/>
      <c r="W120" s="3"/>
      <c r="X120" s="3"/>
      <c r="Y120" s="3"/>
      <c r="Z120" s="3"/>
      <c r="AT120" s="4"/>
      <c r="AU120" s="4"/>
      <c r="AV120" s="4"/>
      <c r="AW120" s="4"/>
      <c r="AX120" s="4"/>
      <c r="AY120" s="4"/>
      <c r="AZ120" s="53"/>
      <c r="BA120" s="53"/>
      <c r="BB120" s="53"/>
      <c r="BC120" s="53"/>
      <c r="BD120" s="53"/>
      <c r="BE120" s="53"/>
      <c r="BF120" s="53"/>
      <c r="BG120" s="53"/>
      <c r="BH120" s="53"/>
      <c r="BI120" s="53"/>
      <c r="BJ120" s="53"/>
    </row>
    <row r="121" spans="18:62" s="20" customFormat="1" x14ac:dyDescent="0.25">
      <c r="R121" s="21"/>
      <c r="S121" s="21"/>
      <c r="T121" s="21"/>
      <c r="V121" s="3"/>
      <c r="W121" s="3"/>
      <c r="X121" s="3"/>
      <c r="Y121" s="3"/>
      <c r="Z121" s="3"/>
      <c r="AT121" s="4"/>
      <c r="AU121" s="4"/>
      <c r="AV121" s="4"/>
      <c r="AW121" s="4"/>
      <c r="AX121" s="4"/>
      <c r="AY121" s="4"/>
      <c r="AZ121" s="53"/>
      <c r="BA121" s="53"/>
      <c r="BB121" s="53"/>
      <c r="BC121" s="53"/>
      <c r="BD121" s="53"/>
      <c r="BE121" s="53"/>
      <c r="BF121" s="53"/>
      <c r="BG121" s="53"/>
      <c r="BH121" s="53"/>
      <c r="BI121" s="53"/>
      <c r="BJ121" s="53"/>
    </row>
    <row r="122" spans="18:62" s="20" customFormat="1" x14ac:dyDescent="0.25">
      <c r="R122" s="21"/>
      <c r="S122" s="21"/>
      <c r="T122" s="21"/>
      <c r="V122" s="3"/>
      <c r="W122" s="3"/>
      <c r="X122" s="3"/>
      <c r="Y122" s="3"/>
      <c r="Z122" s="3"/>
      <c r="AT122" s="4"/>
      <c r="AU122" s="4"/>
      <c r="AV122" s="4"/>
      <c r="AW122" s="4"/>
      <c r="AX122" s="4"/>
      <c r="AY122" s="4"/>
      <c r="AZ122" s="53"/>
      <c r="BA122" s="53"/>
      <c r="BB122" s="53"/>
      <c r="BC122" s="53"/>
      <c r="BD122" s="53"/>
      <c r="BE122" s="53"/>
      <c r="BF122" s="53"/>
      <c r="BG122" s="53"/>
      <c r="BH122" s="53"/>
      <c r="BI122" s="53"/>
      <c r="BJ122" s="53"/>
    </row>
    <row r="123" spans="18:62" s="20" customFormat="1" x14ac:dyDescent="0.25">
      <c r="R123" s="21"/>
      <c r="S123" s="21"/>
      <c r="T123" s="21"/>
      <c r="V123" s="3"/>
      <c r="W123" s="3"/>
      <c r="X123" s="3"/>
      <c r="Y123" s="3"/>
      <c r="Z123" s="3"/>
      <c r="AT123" s="4"/>
      <c r="AU123" s="4"/>
      <c r="AV123" s="4"/>
      <c r="AW123" s="4"/>
      <c r="AX123" s="4"/>
      <c r="AY123" s="4"/>
      <c r="AZ123" s="53"/>
      <c r="BA123" s="53"/>
      <c r="BB123" s="53"/>
      <c r="BC123" s="53"/>
      <c r="BD123" s="53"/>
      <c r="BE123" s="53"/>
      <c r="BF123" s="53"/>
      <c r="BG123" s="53"/>
      <c r="BH123" s="53"/>
      <c r="BI123" s="53"/>
      <c r="BJ123" s="53"/>
    </row>
    <row r="124" spans="18:62" s="20" customFormat="1" x14ac:dyDescent="0.25">
      <c r="R124" s="21"/>
      <c r="S124" s="21"/>
      <c r="T124" s="21"/>
      <c r="V124" s="3"/>
      <c r="W124" s="3"/>
      <c r="X124" s="3"/>
      <c r="Y124" s="3"/>
      <c r="Z124" s="3"/>
      <c r="AT124" s="4"/>
      <c r="AU124" s="4"/>
      <c r="AV124" s="4"/>
      <c r="AW124" s="4"/>
      <c r="AX124" s="4"/>
      <c r="AY124" s="4"/>
      <c r="AZ124" s="53"/>
      <c r="BA124" s="53"/>
      <c r="BB124" s="53"/>
      <c r="BC124" s="53"/>
      <c r="BD124" s="53"/>
      <c r="BE124" s="53"/>
      <c r="BF124" s="53"/>
      <c r="BG124" s="53"/>
      <c r="BH124" s="53"/>
      <c r="BI124" s="53"/>
      <c r="BJ124" s="53"/>
    </row>
    <row r="125" spans="18:62" s="20" customFormat="1" x14ac:dyDescent="0.25">
      <c r="R125" s="21"/>
      <c r="S125" s="21"/>
      <c r="T125" s="21"/>
      <c r="V125" s="3"/>
      <c r="W125" s="3"/>
      <c r="X125" s="3"/>
      <c r="Y125" s="3"/>
      <c r="Z125" s="3"/>
      <c r="AT125" s="4"/>
      <c r="AU125" s="4"/>
      <c r="AV125" s="4"/>
      <c r="AW125" s="4"/>
      <c r="AX125" s="4"/>
      <c r="AY125" s="4"/>
      <c r="AZ125" s="53"/>
      <c r="BA125" s="53"/>
      <c r="BB125" s="53"/>
      <c r="BC125" s="53"/>
      <c r="BD125" s="53"/>
      <c r="BE125" s="53"/>
      <c r="BF125" s="53"/>
      <c r="BG125" s="53"/>
      <c r="BH125" s="53"/>
      <c r="BI125" s="53"/>
      <c r="BJ125" s="53"/>
    </row>
    <row r="126" spans="18:62" s="20" customFormat="1" x14ac:dyDescent="0.25">
      <c r="R126" s="21"/>
      <c r="S126" s="21"/>
      <c r="T126" s="21"/>
      <c r="V126" s="3"/>
      <c r="W126" s="3"/>
      <c r="X126" s="3"/>
      <c r="Y126" s="3"/>
      <c r="Z126" s="3"/>
      <c r="AT126" s="4"/>
      <c r="AU126" s="4"/>
      <c r="AV126" s="4"/>
      <c r="AW126" s="4"/>
      <c r="AX126" s="4"/>
      <c r="AY126" s="4"/>
      <c r="AZ126" s="53"/>
      <c r="BA126" s="53"/>
      <c r="BB126" s="53"/>
      <c r="BC126" s="53"/>
      <c r="BD126" s="53"/>
      <c r="BE126" s="53"/>
      <c r="BF126" s="53"/>
      <c r="BG126" s="53"/>
      <c r="BH126" s="53"/>
      <c r="BI126" s="53"/>
      <c r="BJ126" s="53"/>
    </row>
    <row r="127" spans="18:62" s="20" customFormat="1" x14ac:dyDescent="0.25">
      <c r="R127" s="21"/>
      <c r="S127" s="21"/>
      <c r="T127" s="21"/>
      <c r="V127" s="3"/>
      <c r="W127" s="3"/>
      <c r="X127" s="3"/>
      <c r="Y127" s="3"/>
      <c r="Z127" s="3"/>
      <c r="AT127" s="4"/>
      <c r="AU127" s="4"/>
      <c r="AV127" s="4"/>
      <c r="AW127" s="4"/>
      <c r="AX127" s="4"/>
      <c r="AY127" s="4"/>
      <c r="AZ127" s="53"/>
      <c r="BA127" s="53"/>
      <c r="BB127" s="53"/>
      <c r="BC127" s="53"/>
      <c r="BD127" s="53"/>
      <c r="BE127" s="53"/>
      <c r="BF127" s="53"/>
      <c r="BG127" s="53"/>
      <c r="BH127" s="53"/>
      <c r="BI127" s="53"/>
      <c r="BJ127" s="53"/>
    </row>
    <row r="128" spans="18:62" s="20" customFormat="1" x14ac:dyDescent="0.25">
      <c r="R128" s="21"/>
      <c r="S128" s="21"/>
      <c r="T128" s="21"/>
      <c r="V128" s="3"/>
      <c r="W128" s="3"/>
      <c r="X128" s="3"/>
      <c r="Y128" s="3"/>
      <c r="Z128" s="3"/>
      <c r="AT128" s="4"/>
      <c r="AU128" s="4"/>
      <c r="AV128" s="4"/>
      <c r="AW128" s="4"/>
      <c r="AX128" s="4"/>
      <c r="AY128" s="4"/>
      <c r="AZ128" s="53"/>
      <c r="BA128" s="53"/>
      <c r="BB128" s="53"/>
      <c r="BC128" s="53"/>
      <c r="BD128" s="53"/>
      <c r="BE128" s="53"/>
      <c r="BF128" s="53"/>
      <c r="BG128" s="53"/>
      <c r="BH128" s="53"/>
      <c r="BI128" s="53"/>
      <c r="BJ128" s="53"/>
    </row>
    <row r="129" spans="18:62" s="20" customFormat="1" x14ac:dyDescent="0.25">
      <c r="R129" s="21"/>
      <c r="S129" s="21"/>
      <c r="T129" s="21"/>
      <c r="V129" s="3"/>
      <c r="W129" s="3"/>
      <c r="X129" s="3"/>
      <c r="Y129" s="3"/>
      <c r="Z129" s="3"/>
      <c r="AT129" s="4"/>
      <c r="AU129" s="4"/>
      <c r="AV129" s="4"/>
      <c r="AW129" s="4"/>
      <c r="AX129" s="4"/>
      <c r="AY129" s="4"/>
      <c r="AZ129" s="53"/>
      <c r="BA129" s="53"/>
      <c r="BB129" s="53"/>
      <c r="BC129" s="53"/>
      <c r="BD129" s="53"/>
      <c r="BE129" s="53"/>
      <c r="BF129" s="53"/>
      <c r="BG129" s="53"/>
      <c r="BH129" s="53"/>
      <c r="BI129" s="53"/>
      <c r="BJ129" s="53"/>
    </row>
    <row r="130" spans="18:62" s="20" customFormat="1" x14ac:dyDescent="0.25">
      <c r="R130" s="21"/>
      <c r="S130" s="21"/>
      <c r="T130" s="21"/>
      <c r="V130" s="3"/>
      <c r="W130" s="3"/>
      <c r="X130" s="3"/>
      <c r="Y130" s="3"/>
      <c r="Z130" s="3"/>
      <c r="AT130" s="4"/>
      <c r="AU130" s="4"/>
      <c r="AV130" s="4"/>
      <c r="AW130" s="4"/>
      <c r="AX130" s="4"/>
      <c r="AY130" s="4"/>
      <c r="AZ130" s="53"/>
      <c r="BA130" s="53"/>
      <c r="BB130" s="53"/>
      <c r="BC130" s="53"/>
      <c r="BD130" s="53"/>
      <c r="BE130" s="53"/>
      <c r="BF130" s="53"/>
      <c r="BG130" s="53"/>
      <c r="BH130" s="53"/>
      <c r="BI130" s="53"/>
      <c r="BJ130" s="53"/>
    </row>
    <row r="131" spans="18:62" s="20" customFormat="1" x14ac:dyDescent="0.25">
      <c r="R131" s="21"/>
      <c r="S131" s="21"/>
      <c r="T131" s="21"/>
      <c r="V131" s="3"/>
      <c r="W131" s="3"/>
      <c r="X131" s="3"/>
      <c r="Y131" s="3"/>
      <c r="Z131" s="3"/>
      <c r="AT131" s="4"/>
      <c r="AU131" s="4"/>
      <c r="AV131" s="4"/>
      <c r="AW131" s="4"/>
      <c r="AX131" s="4"/>
      <c r="AY131" s="4"/>
      <c r="AZ131" s="53"/>
      <c r="BA131" s="53"/>
      <c r="BB131" s="53"/>
      <c r="BC131" s="53"/>
      <c r="BD131" s="53"/>
      <c r="BE131" s="53"/>
      <c r="BF131" s="53"/>
      <c r="BG131" s="53"/>
      <c r="BH131" s="53"/>
      <c r="BI131" s="53"/>
      <c r="BJ131" s="53"/>
    </row>
    <row r="132" spans="18:62" s="20" customFormat="1" x14ac:dyDescent="0.25">
      <c r="R132" s="21"/>
      <c r="S132" s="21"/>
      <c r="T132" s="21"/>
      <c r="V132" s="3"/>
      <c r="W132" s="3"/>
      <c r="X132" s="3"/>
      <c r="Y132" s="3"/>
      <c r="Z132" s="3"/>
      <c r="AT132" s="4"/>
      <c r="AU132" s="4"/>
      <c r="AV132" s="4"/>
      <c r="AW132" s="4"/>
      <c r="AX132" s="4"/>
      <c r="AY132" s="4"/>
      <c r="AZ132" s="53"/>
      <c r="BA132" s="53"/>
      <c r="BB132" s="53"/>
      <c r="BC132" s="53"/>
      <c r="BD132" s="53"/>
      <c r="BE132" s="53"/>
      <c r="BF132" s="53"/>
      <c r="BG132" s="53"/>
      <c r="BH132" s="53"/>
      <c r="BI132" s="53"/>
      <c r="BJ132" s="53"/>
    </row>
    <row r="133" spans="18:62" s="20" customFormat="1" x14ac:dyDescent="0.25">
      <c r="R133" s="21"/>
      <c r="S133" s="21"/>
      <c r="T133" s="21"/>
      <c r="V133" s="3"/>
      <c r="W133" s="3"/>
      <c r="X133" s="3"/>
      <c r="Y133" s="3"/>
      <c r="Z133" s="3"/>
      <c r="AT133" s="4"/>
      <c r="AU133" s="4"/>
      <c r="AV133" s="4"/>
      <c r="AW133" s="4"/>
      <c r="AX133" s="4"/>
      <c r="AY133" s="4"/>
      <c r="AZ133" s="53"/>
      <c r="BA133" s="53"/>
      <c r="BB133" s="53"/>
      <c r="BC133" s="53"/>
      <c r="BD133" s="53"/>
      <c r="BE133" s="53"/>
      <c r="BF133" s="53"/>
      <c r="BG133" s="53"/>
      <c r="BH133" s="53"/>
      <c r="BI133" s="53"/>
      <c r="BJ133" s="53"/>
    </row>
    <row r="134" spans="18:62" s="20" customFormat="1" x14ac:dyDescent="0.25">
      <c r="R134" s="21"/>
      <c r="S134" s="21"/>
      <c r="T134" s="21"/>
      <c r="V134" s="3"/>
      <c r="W134" s="3"/>
      <c r="X134" s="3"/>
      <c r="Y134" s="3"/>
      <c r="Z134" s="3"/>
      <c r="AT134" s="4"/>
      <c r="AU134" s="4"/>
      <c r="AV134" s="4"/>
      <c r="AW134" s="4"/>
      <c r="AX134" s="4"/>
      <c r="AY134" s="4"/>
      <c r="AZ134" s="53"/>
      <c r="BA134" s="53"/>
      <c r="BB134" s="53"/>
      <c r="BC134" s="53"/>
      <c r="BD134" s="53"/>
      <c r="BE134" s="53"/>
      <c r="BF134" s="53"/>
      <c r="BG134" s="53"/>
      <c r="BH134" s="53"/>
      <c r="BI134" s="53"/>
      <c r="BJ134" s="53"/>
    </row>
    <row r="135" spans="18:62" s="20" customFormat="1" x14ac:dyDescent="0.25">
      <c r="R135" s="21"/>
      <c r="S135" s="21"/>
      <c r="T135" s="21"/>
      <c r="V135" s="3"/>
      <c r="W135" s="3"/>
      <c r="X135" s="3"/>
      <c r="Y135" s="3"/>
      <c r="Z135" s="3"/>
      <c r="AT135" s="4"/>
      <c r="AU135" s="4"/>
      <c r="AV135" s="4"/>
      <c r="AW135" s="4"/>
      <c r="AX135" s="4"/>
      <c r="AY135" s="4"/>
      <c r="AZ135" s="53"/>
      <c r="BA135" s="53"/>
      <c r="BB135" s="53"/>
      <c r="BC135" s="53"/>
      <c r="BD135" s="53"/>
      <c r="BE135" s="53"/>
      <c r="BF135" s="53"/>
      <c r="BG135" s="53"/>
      <c r="BH135" s="53"/>
      <c r="BI135" s="53"/>
      <c r="BJ135" s="53"/>
    </row>
    <row r="136" spans="18:62" s="20" customFormat="1" x14ac:dyDescent="0.25">
      <c r="R136" s="21"/>
      <c r="S136" s="21"/>
      <c r="T136" s="21"/>
      <c r="V136" s="3"/>
      <c r="W136" s="3"/>
      <c r="X136" s="3"/>
      <c r="Y136" s="3"/>
      <c r="Z136" s="3"/>
      <c r="AT136" s="4"/>
      <c r="AU136" s="4"/>
      <c r="AV136" s="4"/>
      <c r="AW136" s="4"/>
      <c r="AX136" s="4"/>
      <c r="AY136" s="4"/>
      <c r="AZ136" s="53"/>
      <c r="BA136" s="53"/>
      <c r="BB136" s="53"/>
      <c r="BC136" s="53"/>
      <c r="BD136" s="53"/>
      <c r="BE136" s="53"/>
      <c r="BF136" s="53"/>
      <c r="BG136" s="53"/>
      <c r="BH136" s="53"/>
      <c r="BI136" s="53"/>
      <c r="BJ136" s="53"/>
    </row>
    <row r="137" spans="18:62" s="20" customFormat="1" x14ac:dyDescent="0.25">
      <c r="R137" s="21"/>
      <c r="S137" s="21"/>
      <c r="T137" s="21"/>
      <c r="V137" s="3"/>
      <c r="W137" s="3"/>
      <c r="X137" s="3"/>
      <c r="Y137" s="3"/>
      <c r="Z137" s="3"/>
      <c r="AT137" s="4"/>
      <c r="AU137" s="4"/>
      <c r="AV137" s="4"/>
      <c r="AW137" s="4"/>
      <c r="AX137" s="4"/>
      <c r="AY137" s="4"/>
      <c r="AZ137" s="53"/>
      <c r="BA137" s="53"/>
      <c r="BB137" s="53"/>
      <c r="BC137" s="53"/>
      <c r="BD137" s="53"/>
      <c r="BE137" s="53"/>
      <c r="BF137" s="53"/>
      <c r="BG137" s="53"/>
      <c r="BH137" s="53"/>
      <c r="BI137" s="53"/>
      <c r="BJ137" s="53"/>
    </row>
    <row r="138" spans="18:62" s="20" customFormat="1" x14ac:dyDescent="0.25">
      <c r="R138" s="21"/>
      <c r="S138" s="21"/>
      <c r="T138" s="21"/>
      <c r="V138" s="3"/>
      <c r="W138" s="3"/>
      <c r="X138" s="3"/>
      <c r="Y138" s="3"/>
      <c r="Z138" s="3"/>
      <c r="AT138" s="4"/>
      <c r="AU138" s="4"/>
      <c r="AV138" s="4"/>
      <c r="AW138" s="4"/>
      <c r="AX138" s="4"/>
      <c r="AY138" s="4"/>
      <c r="AZ138" s="53"/>
      <c r="BA138" s="53"/>
      <c r="BB138" s="53"/>
      <c r="BC138" s="53"/>
      <c r="BD138" s="53"/>
      <c r="BE138" s="53"/>
      <c r="BF138" s="53"/>
      <c r="BG138" s="53"/>
      <c r="BH138" s="53"/>
      <c r="BI138" s="53"/>
      <c r="BJ138" s="53"/>
    </row>
    <row r="139" spans="18:62" s="20" customFormat="1" x14ac:dyDescent="0.25">
      <c r="R139" s="21"/>
      <c r="S139" s="21"/>
      <c r="T139" s="21"/>
      <c r="V139" s="3"/>
      <c r="W139" s="3"/>
      <c r="X139" s="3"/>
      <c r="Y139" s="3"/>
      <c r="Z139" s="3"/>
      <c r="AT139" s="4"/>
      <c r="AU139" s="4"/>
      <c r="AV139" s="4"/>
      <c r="AW139" s="4"/>
      <c r="AX139" s="4"/>
      <c r="AY139" s="4"/>
      <c r="AZ139" s="53"/>
      <c r="BA139" s="53"/>
      <c r="BB139" s="53"/>
      <c r="BC139" s="53"/>
      <c r="BD139" s="53"/>
      <c r="BE139" s="53"/>
      <c r="BF139" s="53"/>
      <c r="BG139" s="53"/>
      <c r="BH139" s="53"/>
      <c r="BI139" s="53"/>
      <c r="BJ139" s="53"/>
    </row>
    <row r="140" spans="18:62" s="20" customFormat="1" x14ac:dyDescent="0.25">
      <c r="R140" s="21"/>
      <c r="S140" s="21"/>
      <c r="T140" s="21"/>
      <c r="V140" s="3"/>
      <c r="W140" s="3"/>
      <c r="X140" s="3"/>
      <c r="Y140" s="3"/>
      <c r="Z140" s="3"/>
      <c r="AT140" s="4"/>
      <c r="AU140" s="4"/>
      <c r="AV140" s="4"/>
      <c r="AW140" s="4"/>
      <c r="AX140" s="4"/>
      <c r="AY140" s="4"/>
      <c r="AZ140" s="53"/>
      <c r="BA140" s="53"/>
      <c r="BB140" s="53"/>
      <c r="BC140" s="53"/>
      <c r="BD140" s="53"/>
      <c r="BE140" s="53"/>
      <c r="BF140" s="53"/>
      <c r="BG140" s="53"/>
      <c r="BH140" s="53"/>
      <c r="BI140" s="53"/>
      <c r="BJ140" s="53"/>
    </row>
    <row r="141" spans="18:62" s="20" customFormat="1" x14ac:dyDescent="0.25">
      <c r="R141" s="21"/>
      <c r="S141" s="21"/>
      <c r="T141" s="21"/>
      <c r="V141" s="3"/>
      <c r="W141" s="3"/>
      <c r="X141" s="3"/>
      <c r="Y141" s="3"/>
      <c r="Z141" s="3"/>
      <c r="AT141" s="4"/>
      <c r="AU141" s="4"/>
      <c r="AV141" s="4"/>
      <c r="AW141" s="4"/>
      <c r="AX141" s="4"/>
      <c r="AY141" s="4"/>
      <c r="AZ141" s="53"/>
      <c r="BA141" s="53"/>
      <c r="BB141" s="53"/>
      <c r="BC141" s="53"/>
      <c r="BD141" s="53"/>
      <c r="BE141" s="53"/>
      <c r="BF141" s="53"/>
      <c r="BG141" s="53"/>
      <c r="BH141" s="53"/>
      <c r="BI141" s="53"/>
      <c r="BJ141" s="53"/>
    </row>
    <row r="142" spans="18:62" s="20" customFormat="1" x14ac:dyDescent="0.25">
      <c r="R142" s="21"/>
      <c r="S142" s="21"/>
      <c r="T142" s="21"/>
      <c r="V142" s="3"/>
      <c r="W142" s="3"/>
      <c r="X142" s="3"/>
      <c r="Y142" s="3"/>
      <c r="Z142" s="3"/>
      <c r="AT142" s="4"/>
      <c r="AU142" s="4"/>
      <c r="AV142" s="4"/>
      <c r="AW142" s="4"/>
      <c r="AX142" s="4"/>
      <c r="AY142" s="4"/>
      <c r="AZ142" s="53"/>
      <c r="BA142" s="53"/>
      <c r="BB142" s="53"/>
      <c r="BC142" s="53"/>
      <c r="BD142" s="53"/>
      <c r="BE142" s="53"/>
      <c r="BF142" s="53"/>
      <c r="BG142" s="53"/>
      <c r="BH142" s="53"/>
      <c r="BI142" s="53"/>
      <c r="BJ142" s="53"/>
    </row>
    <row r="143" spans="18:62" s="20" customFormat="1" x14ac:dyDescent="0.25">
      <c r="R143" s="21"/>
      <c r="S143" s="21"/>
      <c r="T143" s="21"/>
      <c r="V143" s="3"/>
      <c r="W143" s="3"/>
      <c r="X143" s="3"/>
      <c r="Y143" s="3"/>
      <c r="Z143" s="3"/>
      <c r="AT143" s="4"/>
      <c r="AU143" s="4"/>
      <c r="AV143" s="4"/>
      <c r="AW143" s="4"/>
      <c r="AX143" s="4"/>
      <c r="AY143" s="4"/>
      <c r="AZ143" s="53"/>
      <c r="BA143" s="53"/>
      <c r="BB143" s="53"/>
      <c r="BC143" s="53"/>
      <c r="BD143" s="53"/>
      <c r="BE143" s="53"/>
      <c r="BF143" s="53"/>
      <c r="BG143" s="53"/>
      <c r="BH143" s="53"/>
      <c r="BI143" s="53"/>
      <c r="BJ143" s="53"/>
    </row>
    <row r="144" spans="18:62" s="20" customFormat="1" x14ac:dyDescent="0.25">
      <c r="R144" s="21"/>
      <c r="S144" s="21"/>
      <c r="T144" s="21"/>
      <c r="V144" s="3"/>
      <c r="W144" s="3"/>
      <c r="X144" s="3"/>
      <c r="Y144" s="3"/>
      <c r="Z144" s="3"/>
      <c r="AT144" s="4"/>
      <c r="AU144" s="4"/>
      <c r="AV144" s="4"/>
      <c r="AW144" s="4"/>
      <c r="AX144" s="4"/>
      <c r="AY144" s="4"/>
      <c r="AZ144" s="53"/>
      <c r="BA144" s="53"/>
      <c r="BB144" s="53"/>
      <c r="BC144" s="53"/>
      <c r="BD144" s="53"/>
      <c r="BE144" s="53"/>
      <c r="BF144" s="53"/>
      <c r="BG144" s="53"/>
      <c r="BH144" s="53"/>
      <c r="BI144" s="53"/>
      <c r="BJ144" s="53"/>
    </row>
    <row r="145" spans="18:62" s="20" customFormat="1" x14ac:dyDescent="0.25">
      <c r="R145" s="21"/>
      <c r="S145" s="21"/>
      <c r="T145" s="21"/>
      <c r="V145" s="3"/>
      <c r="W145" s="3"/>
      <c r="X145" s="3"/>
      <c r="Y145" s="3"/>
      <c r="Z145" s="3"/>
      <c r="AT145" s="4"/>
      <c r="AU145" s="4"/>
      <c r="AV145" s="4"/>
      <c r="AW145" s="4"/>
      <c r="AX145" s="4"/>
      <c r="AY145" s="4"/>
      <c r="AZ145" s="53"/>
      <c r="BA145" s="53"/>
      <c r="BB145" s="53"/>
      <c r="BC145" s="53"/>
      <c r="BD145" s="53"/>
      <c r="BE145" s="53"/>
      <c r="BF145" s="53"/>
      <c r="BG145" s="53"/>
      <c r="BH145" s="53"/>
      <c r="BI145" s="53"/>
      <c r="BJ145" s="53"/>
    </row>
    <row r="146" spans="18:62" s="20" customFormat="1" x14ac:dyDescent="0.25">
      <c r="R146" s="21"/>
      <c r="S146" s="21"/>
      <c r="T146" s="21"/>
      <c r="V146" s="3"/>
      <c r="W146" s="3"/>
      <c r="X146" s="3"/>
      <c r="Y146" s="3"/>
      <c r="Z146" s="3"/>
      <c r="AT146" s="4"/>
      <c r="AU146" s="4"/>
      <c r="AV146" s="4"/>
      <c r="AW146" s="4"/>
      <c r="AX146" s="4"/>
      <c r="AY146" s="4"/>
      <c r="AZ146" s="53"/>
      <c r="BA146" s="53"/>
      <c r="BB146" s="53"/>
      <c r="BC146" s="53"/>
      <c r="BD146" s="53"/>
      <c r="BE146" s="53"/>
      <c r="BF146" s="53"/>
      <c r="BG146" s="53"/>
      <c r="BH146" s="53"/>
      <c r="BI146" s="53"/>
      <c r="BJ146" s="53"/>
    </row>
    <row r="147" spans="18:62" s="20" customFormat="1" x14ac:dyDescent="0.25">
      <c r="R147" s="21"/>
      <c r="S147" s="21"/>
      <c r="T147" s="21"/>
      <c r="V147" s="3"/>
      <c r="W147" s="3"/>
      <c r="X147" s="3"/>
      <c r="Y147" s="3"/>
      <c r="Z147" s="3"/>
      <c r="AT147" s="4"/>
      <c r="AU147" s="4"/>
      <c r="AV147" s="4"/>
      <c r="AW147" s="4"/>
      <c r="AX147" s="4"/>
      <c r="AY147" s="4"/>
      <c r="AZ147" s="53"/>
      <c r="BA147" s="53"/>
      <c r="BB147" s="53"/>
      <c r="BC147" s="53"/>
      <c r="BD147" s="53"/>
      <c r="BE147" s="53"/>
      <c r="BF147" s="53"/>
      <c r="BG147" s="53"/>
      <c r="BH147" s="53"/>
      <c r="BI147" s="53"/>
      <c r="BJ147" s="53"/>
    </row>
    <row r="148" spans="18:62" s="20" customFormat="1" x14ac:dyDescent="0.25">
      <c r="R148" s="21"/>
      <c r="S148" s="21"/>
      <c r="T148" s="21"/>
      <c r="V148" s="3"/>
      <c r="W148" s="3"/>
      <c r="X148" s="3"/>
      <c r="Y148" s="3"/>
      <c r="Z148" s="3"/>
      <c r="AT148" s="4"/>
      <c r="AU148" s="4"/>
      <c r="AV148" s="4"/>
      <c r="AW148" s="4"/>
      <c r="AX148" s="4"/>
      <c r="AY148" s="4"/>
      <c r="AZ148" s="53"/>
      <c r="BA148" s="53"/>
      <c r="BB148" s="53"/>
      <c r="BC148" s="53"/>
      <c r="BD148" s="53"/>
      <c r="BE148" s="53"/>
      <c r="BF148" s="53"/>
      <c r="BG148" s="53"/>
      <c r="BH148" s="53"/>
      <c r="BI148" s="53"/>
      <c r="BJ148" s="53"/>
    </row>
    <row r="149" spans="18:62" s="20" customFormat="1" x14ac:dyDescent="0.25">
      <c r="R149" s="21"/>
      <c r="S149" s="21"/>
      <c r="T149" s="21"/>
      <c r="V149" s="3"/>
      <c r="W149" s="3"/>
      <c r="X149" s="3"/>
      <c r="Y149" s="3"/>
      <c r="Z149" s="3"/>
      <c r="AT149" s="4"/>
      <c r="AU149" s="4"/>
      <c r="AV149" s="4"/>
      <c r="AW149" s="4"/>
      <c r="AX149" s="4"/>
      <c r="AY149" s="4"/>
      <c r="AZ149" s="53"/>
      <c r="BA149" s="53"/>
      <c r="BB149" s="53"/>
      <c r="BC149" s="53"/>
      <c r="BD149" s="53"/>
      <c r="BE149" s="53"/>
      <c r="BF149" s="53"/>
      <c r="BG149" s="53"/>
      <c r="BH149" s="53"/>
      <c r="BI149" s="53"/>
      <c r="BJ149" s="53"/>
    </row>
  </sheetData>
  <mergeCells count="25">
    <mergeCell ref="E61:Q61"/>
    <mergeCell ref="E63:Q63"/>
    <mergeCell ref="E65:Q65"/>
    <mergeCell ref="E67:Q67"/>
    <mergeCell ref="E69:Q69"/>
    <mergeCell ref="E51:Q51"/>
    <mergeCell ref="E53:Q53"/>
    <mergeCell ref="E55:Q55"/>
    <mergeCell ref="E57:Q57"/>
    <mergeCell ref="E59:Q59"/>
    <mergeCell ref="E41:Q41"/>
    <mergeCell ref="E43:Q43"/>
    <mergeCell ref="E45:Q45"/>
    <mergeCell ref="E47:Q47"/>
    <mergeCell ref="E49:Q49"/>
    <mergeCell ref="E31:Q31"/>
    <mergeCell ref="E33:Q33"/>
    <mergeCell ref="E35:Q35"/>
    <mergeCell ref="E37:Q37"/>
    <mergeCell ref="E39:Q39"/>
    <mergeCell ref="E14:L14"/>
    <mergeCell ref="E23:Q23"/>
    <mergeCell ref="E25:Q25"/>
    <mergeCell ref="E27:Q27"/>
    <mergeCell ref="E29:Q29"/>
  </mergeCells>
  <conditionalFormatting sqref="E22:R23 E70:R71">
    <cfRule type="expression" dxfId="1" priority="52" stopIfTrue="1">
      <formula>MOD(ROW(),4)&lt;2</formula>
    </cfRule>
  </conditionalFormatting>
  <conditionalFormatting sqref="E24:R69">
    <cfRule type="expression" dxfId="0" priority="1" stopIfTrue="1">
      <formula>MOD(ROW(),4)&lt;2</formula>
    </cfRule>
  </conditionalFormatting>
  <pageMargins left="0.2" right="0.2" top="0.25" bottom="0.2" header="0.3" footer="0.3"/>
  <pageSetup scale="7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heetViews>
  <sheetFormatPr defaultRowHeight="15" x14ac:dyDescent="0.25"/>
  <sheetData>
    <row r="1" spans="1:11" x14ac:dyDescent="0.25">
      <c r="A1" s="92" t="s">
        <v>201</v>
      </c>
      <c r="C1" s="92" t="s">
        <v>62</v>
      </c>
      <c r="D1" s="92" t="s">
        <v>63</v>
      </c>
      <c r="E1" s="92" t="s">
        <v>64</v>
      </c>
    </row>
    <row r="2" spans="1:11" x14ac:dyDescent="0.25">
      <c r="G2" s="92" t="s">
        <v>65</v>
      </c>
    </row>
    <row r="3" spans="1:11" x14ac:dyDescent="0.25">
      <c r="F3" s="92" t="s">
        <v>66</v>
      </c>
    </row>
    <row r="4" spans="1:11" x14ac:dyDescent="0.25">
      <c r="F4" s="92" t="s">
        <v>67</v>
      </c>
      <c r="G4" s="92" t="s">
        <v>68</v>
      </c>
    </row>
    <row r="5" spans="1:11" x14ac:dyDescent="0.25">
      <c r="F5" s="92" t="s">
        <v>134</v>
      </c>
      <c r="G5" s="92" t="s">
        <v>135</v>
      </c>
    </row>
    <row r="7" spans="1:11" x14ac:dyDescent="0.25">
      <c r="C7" s="92" t="s">
        <v>70</v>
      </c>
      <c r="E7" s="92" t="s">
        <v>136</v>
      </c>
    </row>
    <row r="8" spans="1:11" x14ac:dyDescent="0.25">
      <c r="C8" s="92" t="s">
        <v>71</v>
      </c>
      <c r="E8" s="92" t="s">
        <v>137</v>
      </c>
      <c r="G8" s="92" t="s">
        <v>138</v>
      </c>
      <c r="I8" s="92" t="s">
        <v>72</v>
      </c>
      <c r="J8" s="92" t="s">
        <v>139</v>
      </c>
    </row>
    <row r="9" spans="1:11" x14ac:dyDescent="0.25">
      <c r="C9" s="92" t="s">
        <v>73</v>
      </c>
      <c r="E9" s="92" t="s">
        <v>140</v>
      </c>
      <c r="G9" s="92" t="s">
        <v>141</v>
      </c>
      <c r="I9" s="92" t="s">
        <v>74</v>
      </c>
      <c r="J9" s="92" t="s">
        <v>142</v>
      </c>
    </row>
    <row r="10" spans="1:11" x14ac:dyDescent="0.25">
      <c r="A10" s="92" t="s">
        <v>69</v>
      </c>
      <c r="C10" s="92" t="s">
        <v>75</v>
      </c>
      <c r="D10" s="92" t="s">
        <v>143</v>
      </c>
      <c r="E10" s="92" t="s">
        <v>144</v>
      </c>
      <c r="G10" s="92" t="s">
        <v>145</v>
      </c>
      <c r="I10" s="92" t="s">
        <v>76</v>
      </c>
      <c r="J10" s="92" t="s">
        <v>146</v>
      </c>
    </row>
    <row r="11" spans="1:11" x14ac:dyDescent="0.25">
      <c r="C11" s="92" t="s">
        <v>77</v>
      </c>
      <c r="E11" s="92" t="s">
        <v>147</v>
      </c>
      <c r="G11" s="92" t="s">
        <v>148</v>
      </c>
    </row>
    <row r="12" spans="1:11" x14ac:dyDescent="0.25">
      <c r="A12" s="92" t="s">
        <v>69</v>
      </c>
      <c r="C12" s="92" t="s">
        <v>78</v>
      </c>
      <c r="D12" s="92" t="s">
        <v>149</v>
      </c>
      <c r="E12" s="92" t="s">
        <v>150</v>
      </c>
      <c r="G12" s="92" t="s">
        <v>79</v>
      </c>
      <c r="H12" s="92" t="s">
        <v>80</v>
      </c>
      <c r="I12" s="92" t="s">
        <v>81</v>
      </c>
      <c r="J12" s="92" t="s">
        <v>82</v>
      </c>
      <c r="K12" s="92" t="s">
        <v>83</v>
      </c>
    </row>
    <row r="13" spans="1:11" x14ac:dyDescent="0.25">
      <c r="A13" s="92" t="s">
        <v>69</v>
      </c>
      <c r="C13" s="92" t="s">
        <v>84</v>
      </c>
      <c r="F13" s="92" t="s">
        <v>85</v>
      </c>
      <c r="G13" s="92" t="s">
        <v>151</v>
      </c>
      <c r="H13" s="92" t="s">
        <v>152</v>
      </c>
      <c r="I13" s="92" t="s">
        <v>153</v>
      </c>
      <c r="J13" s="92" t="s">
        <v>154</v>
      </c>
      <c r="K13" s="92" t="s">
        <v>155</v>
      </c>
    </row>
    <row r="14" spans="1:11" x14ac:dyDescent="0.25">
      <c r="A14" s="92" t="s">
        <v>69</v>
      </c>
      <c r="C14" s="92" t="s">
        <v>86</v>
      </c>
      <c r="F14" s="92" t="s">
        <v>87</v>
      </c>
      <c r="G14" s="92" t="s">
        <v>156</v>
      </c>
      <c r="H14" s="92" t="s">
        <v>157</v>
      </c>
      <c r="I14" s="92" t="s">
        <v>158</v>
      </c>
      <c r="J14" s="92" t="s">
        <v>159</v>
      </c>
      <c r="K14" s="92" t="s">
        <v>160</v>
      </c>
    </row>
    <row r="15" spans="1:11" x14ac:dyDescent="0.25">
      <c r="A15" s="92" t="s">
        <v>69</v>
      </c>
      <c r="C15" s="92" t="s">
        <v>88</v>
      </c>
      <c r="G15" s="92" t="s">
        <v>161</v>
      </c>
    </row>
    <row r="16" spans="1:11" x14ac:dyDescent="0.25">
      <c r="C16" s="92" t="s">
        <v>89</v>
      </c>
      <c r="E16" s="92" t="s">
        <v>162</v>
      </c>
    </row>
    <row r="17" spans="1:8" x14ac:dyDescent="0.25">
      <c r="C17" s="92" t="s">
        <v>90</v>
      </c>
      <c r="F17" s="92" t="s">
        <v>163</v>
      </c>
      <c r="G17" s="92" t="s">
        <v>164</v>
      </c>
      <c r="H17" s="92" t="s">
        <v>91</v>
      </c>
    </row>
    <row r="18" spans="1:8" x14ac:dyDescent="0.25">
      <c r="C18" s="92" t="s">
        <v>92</v>
      </c>
      <c r="E18" s="92" t="s">
        <v>162</v>
      </c>
    </row>
    <row r="19" spans="1:8" x14ac:dyDescent="0.25">
      <c r="C19" s="92" t="s">
        <v>93</v>
      </c>
      <c r="F19" s="92" t="s">
        <v>165</v>
      </c>
      <c r="G19" s="92" t="s">
        <v>166</v>
      </c>
      <c r="H19" s="92" t="s">
        <v>91</v>
      </c>
    </row>
    <row r="21" spans="1:8" x14ac:dyDescent="0.25">
      <c r="A21" s="92" t="s">
        <v>94</v>
      </c>
      <c r="C21" s="92" t="s">
        <v>95</v>
      </c>
    </row>
    <row r="22" spans="1:8" x14ac:dyDescent="0.25">
      <c r="C22" s="92" t="s">
        <v>96</v>
      </c>
      <c r="G22" s="92" t="s">
        <v>167</v>
      </c>
    </row>
    <row r="26" spans="1:8" x14ac:dyDescent="0.25">
      <c r="C26" s="92" t="s">
        <v>97</v>
      </c>
      <c r="D26" s="92" t="s">
        <v>168</v>
      </c>
      <c r="E26" s="92" t="s">
        <v>169</v>
      </c>
      <c r="G26" s="92" t="s">
        <v>170</v>
      </c>
    </row>
    <row r="27" spans="1:8" x14ac:dyDescent="0.25">
      <c r="C27" s="92" t="s">
        <v>89</v>
      </c>
      <c r="D27" s="92" t="s">
        <v>171</v>
      </c>
      <c r="E27" s="92" t="s">
        <v>162</v>
      </c>
      <c r="G27" s="92" t="s">
        <v>172</v>
      </c>
    </row>
    <row r="28" spans="1:8" x14ac:dyDescent="0.25">
      <c r="C28" s="92" t="s">
        <v>90</v>
      </c>
      <c r="D28" s="92" t="s">
        <v>171</v>
      </c>
      <c r="G28" s="92" t="s">
        <v>173</v>
      </c>
      <c r="H28" s="92" t="s">
        <v>91</v>
      </c>
    </row>
    <row r="29" spans="1:8" x14ac:dyDescent="0.25">
      <c r="C29" s="92" t="s">
        <v>98</v>
      </c>
      <c r="D29" s="92" t="s">
        <v>174</v>
      </c>
      <c r="E29" s="92" t="s">
        <v>175</v>
      </c>
      <c r="G29" s="92" t="s">
        <v>176</v>
      </c>
    </row>
    <row r="30" spans="1:8" x14ac:dyDescent="0.25">
      <c r="C30" s="92" t="s">
        <v>11</v>
      </c>
      <c r="D30" s="92" t="s">
        <v>177</v>
      </c>
      <c r="E30" s="92" t="s">
        <v>178</v>
      </c>
      <c r="G30" s="92" t="s">
        <v>179</v>
      </c>
    </row>
    <row r="31" spans="1:8" x14ac:dyDescent="0.25">
      <c r="C31" s="92" t="s">
        <v>99</v>
      </c>
      <c r="E31" s="92" t="s">
        <v>180</v>
      </c>
      <c r="G31" s="92" t="s">
        <v>181</v>
      </c>
    </row>
    <row r="32" spans="1:8" x14ac:dyDescent="0.25">
      <c r="C32" s="92" t="s">
        <v>100</v>
      </c>
      <c r="D32" s="92" t="s">
        <v>171</v>
      </c>
      <c r="E32" s="92" t="s">
        <v>182</v>
      </c>
      <c r="G32" s="92" t="s">
        <v>183</v>
      </c>
    </row>
    <row r="33" spans="1:9" ht="330" x14ac:dyDescent="0.25">
      <c r="C33" s="93" t="s">
        <v>101</v>
      </c>
      <c r="D33" s="92" t="s">
        <v>184</v>
      </c>
      <c r="E33" s="92" t="s">
        <v>185</v>
      </c>
      <c r="G33" s="92" t="s">
        <v>186</v>
      </c>
    </row>
    <row r="34" spans="1:9" x14ac:dyDescent="0.25">
      <c r="C34" s="92" t="s">
        <v>102</v>
      </c>
      <c r="D34" s="92" t="s">
        <v>103</v>
      </c>
      <c r="G34" s="92" t="s">
        <v>187</v>
      </c>
      <c r="I34" s="92" t="s">
        <v>104</v>
      </c>
    </row>
    <row r="35" spans="1:9" x14ac:dyDescent="0.25">
      <c r="C35" s="92" t="s">
        <v>105</v>
      </c>
      <c r="G35" s="92" t="s">
        <v>188</v>
      </c>
      <c r="I35" s="92" t="s">
        <v>106</v>
      </c>
    </row>
    <row r="36" spans="1:9" x14ac:dyDescent="0.25">
      <c r="C36" s="92" t="s">
        <v>107</v>
      </c>
      <c r="G36" s="92" t="s">
        <v>189</v>
      </c>
      <c r="I36" s="92" t="s">
        <v>108</v>
      </c>
    </row>
    <row r="37" spans="1:9" x14ac:dyDescent="0.25">
      <c r="C37" s="92" t="s">
        <v>109</v>
      </c>
      <c r="G37" s="92" t="s">
        <v>190</v>
      </c>
      <c r="I37" s="92" t="s">
        <v>108</v>
      </c>
    </row>
    <row r="38" spans="1:9" x14ac:dyDescent="0.25">
      <c r="C38" s="92" t="s">
        <v>96</v>
      </c>
      <c r="D38" s="92" t="s">
        <v>171</v>
      </c>
      <c r="G38" s="92" t="s">
        <v>191</v>
      </c>
      <c r="I38" s="92" t="s">
        <v>108</v>
      </c>
    </row>
    <row r="40" spans="1:9" x14ac:dyDescent="0.25">
      <c r="C40" s="92" t="s">
        <v>110</v>
      </c>
      <c r="D40" s="92" t="s">
        <v>192</v>
      </c>
    </row>
    <row r="43" spans="1:9" x14ac:dyDescent="0.25">
      <c r="A43" s="92" t="s">
        <v>111</v>
      </c>
    </row>
    <row r="44" spans="1:9" x14ac:dyDescent="0.25">
      <c r="A44" s="92" t="s">
        <v>112</v>
      </c>
      <c r="D44" s="92" t="s">
        <v>193</v>
      </c>
    </row>
    <row r="45" spans="1:9" x14ac:dyDescent="0.25">
      <c r="A45" s="92" t="s">
        <v>113</v>
      </c>
      <c r="B45" s="92" t="s">
        <v>114</v>
      </c>
    </row>
    <row r="46" spans="1:9" x14ac:dyDescent="0.25">
      <c r="A46" s="92" t="s">
        <v>115</v>
      </c>
      <c r="B46" s="92" t="s">
        <v>114</v>
      </c>
    </row>
    <row r="47" spans="1:9" x14ac:dyDescent="0.25">
      <c r="A47" s="92" t="s">
        <v>116</v>
      </c>
      <c r="B47" s="92" t="s">
        <v>114</v>
      </c>
    </row>
    <row r="50" spans="1:1" x14ac:dyDescent="0.25">
      <c r="A50" s="92" t="s">
        <v>117</v>
      </c>
    </row>
    <row r="51" spans="1:1" x14ac:dyDescent="0.25">
      <c r="A51" s="92" t="s">
        <v>118</v>
      </c>
    </row>
    <row r="52" spans="1:1" x14ac:dyDescent="0.25">
      <c r="A52" s="92" t="s">
        <v>119</v>
      </c>
    </row>
    <row r="53" spans="1:1" x14ac:dyDescent="0.25">
      <c r="A53" s="92" t="s">
        <v>120</v>
      </c>
    </row>
    <row r="55" spans="1:1" x14ac:dyDescent="0.25">
      <c r="A55" s="92" t="s">
        <v>194</v>
      </c>
    </row>
    <row r="56" spans="1:1" x14ac:dyDescent="0.25">
      <c r="A56" s="92" t="s">
        <v>121</v>
      </c>
    </row>
    <row r="58" spans="1:1" x14ac:dyDescent="0.25">
      <c r="A58" s="92" t="s">
        <v>195</v>
      </c>
    </row>
    <row r="59" spans="1:1" x14ac:dyDescent="0.25">
      <c r="A59" s="92" t="s">
        <v>122</v>
      </c>
    </row>
    <row r="61" spans="1:1" x14ac:dyDescent="0.25">
      <c r="A61" s="92" t="s">
        <v>196</v>
      </c>
    </row>
    <row r="62" spans="1:1" x14ac:dyDescent="0.25">
      <c r="A62" s="92" t="s">
        <v>123</v>
      </c>
    </row>
    <row r="63" spans="1:1" x14ac:dyDescent="0.25">
      <c r="A63" s="92" t="s">
        <v>124</v>
      </c>
    </row>
    <row r="64" spans="1:1" x14ac:dyDescent="0.25">
      <c r="A64" s="92" t="s">
        <v>125</v>
      </c>
    </row>
    <row r="67" spans="1:1" x14ac:dyDescent="0.25">
      <c r="A67" s="92" t="s">
        <v>197</v>
      </c>
    </row>
    <row r="68" spans="1:1" x14ac:dyDescent="0.25">
      <c r="A68" s="92" t="s">
        <v>126</v>
      </c>
    </row>
    <row r="69" spans="1:1" x14ac:dyDescent="0.25">
      <c r="A69" s="92" t="s">
        <v>127</v>
      </c>
    </row>
    <row r="72" spans="1:1" x14ac:dyDescent="0.25">
      <c r="A72" s="92" t="s">
        <v>198</v>
      </c>
    </row>
    <row r="73" spans="1:1" x14ac:dyDescent="0.25">
      <c r="A73" s="92" t="s">
        <v>128</v>
      </c>
    </row>
    <row r="74" spans="1:1" x14ac:dyDescent="0.25">
      <c r="A74" s="92" t="s">
        <v>129</v>
      </c>
    </row>
    <row r="77" spans="1:1" x14ac:dyDescent="0.25">
      <c r="A77" s="92" t="s">
        <v>199</v>
      </c>
    </row>
    <row r="78" spans="1:1" x14ac:dyDescent="0.25">
      <c r="A78" s="92" t="s">
        <v>130</v>
      </c>
    </row>
    <row r="82" spans="1:1" x14ac:dyDescent="0.25">
      <c r="A82" s="92" t="s">
        <v>200</v>
      </c>
    </row>
    <row r="83" spans="1:1" x14ac:dyDescent="0.25">
      <c r="A83" s="92" t="s">
        <v>131</v>
      </c>
    </row>
    <row r="84" spans="1:1" x14ac:dyDescent="0.25">
      <c r="A84" s="92"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heetViews>
  <sheetFormatPr defaultRowHeight="15" x14ac:dyDescent="0.25"/>
  <sheetData>
    <row r="1" spans="1:11" x14ac:dyDescent="0.25">
      <c r="A1" s="92" t="s">
        <v>201</v>
      </c>
      <c r="C1" s="92" t="s">
        <v>62</v>
      </c>
      <c r="D1" s="92" t="s">
        <v>63</v>
      </c>
      <c r="E1" s="92" t="s">
        <v>64</v>
      </c>
    </row>
    <row r="2" spans="1:11" x14ac:dyDescent="0.25">
      <c r="G2" s="92" t="s">
        <v>65</v>
      </c>
    </row>
    <row r="3" spans="1:11" x14ac:dyDescent="0.25">
      <c r="F3" s="92" t="s">
        <v>66</v>
      </c>
    </row>
    <row r="4" spans="1:11" x14ac:dyDescent="0.25">
      <c r="F4" s="92" t="s">
        <v>67</v>
      </c>
      <c r="G4" s="92" t="s">
        <v>68</v>
      </c>
    </row>
    <row r="5" spans="1:11" x14ac:dyDescent="0.25">
      <c r="F5" s="92" t="s">
        <v>134</v>
      </c>
      <c r="G5" s="92" t="s">
        <v>135</v>
      </c>
    </row>
    <row r="7" spans="1:11" x14ac:dyDescent="0.25">
      <c r="C7" s="92" t="s">
        <v>70</v>
      </c>
      <c r="E7" s="92" t="s">
        <v>136</v>
      </c>
    </row>
    <row r="8" spans="1:11" x14ac:dyDescent="0.25">
      <c r="C8" s="92" t="s">
        <v>71</v>
      </c>
      <c r="E8" s="92" t="s">
        <v>137</v>
      </c>
      <c r="G8" s="92" t="s">
        <v>138</v>
      </c>
      <c r="I8" s="92" t="s">
        <v>72</v>
      </c>
      <c r="J8" s="92" t="s">
        <v>139</v>
      </c>
    </row>
    <row r="9" spans="1:11" x14ac:dyDescent="0.25">
      <c r="C9" s="92" t="s">
        <v>73</v>
      </c>
      <c r="E9" s="92" t="s">
        <v>140</v>
      </c>
      <c r="G9" s="92" t="s">
        <v>141</v>
      </c>
      <c r="I9" s="92" t="s">
        <v>74</v>
      </c>
      <c r="J9" s="92" t="s">
        <v>142</v>
      </c>
    </row>
    <row r="10" spans="1:11" x14ac:dyDescent="0.25">
      <c r="A10" s="92" t="s">
        <v>69</v>
      </c>
      <c r="C10" s="92" t="s">
        <v>75</v>
      </c>
      <c r="D10" s="92" t="s">
        <v>143</v>
      </c>
      <c r="E10" s="92" t="s">
        <v>144</v>
      </c>
      <c r="G10" s="92" t="s">
        <v>145</v>
      </c>
      <c r="I10" s="92" t="s">
        <v>76</v>
      </c>
      <c r="J10" s="92" t="s">
        <v>146</v>
      </c>
    </row>
    <row r="11" spans="1:11" x14ac:dyDescent="0.25">
      <c r="C11" s="92" t="s">
        <v>77</v>
      </c>
      <c r="E11" s="92" t="s">
        <v>147</v>
      </c>
      <c r="G11" s="92" t="s">
        <v>148</v>
      </c>
    </row>
    <row r="12" spans="1:11" x14ac:dyDescent="0.25">
      <c r="A12" s="92" t="s">
        <v>69</v>
      </c>
      <c r="C12" s="92" t="s">
        <v>78</v>
      </c>
      <c r="D12" s="92" t="s">
        <v>149</v>
      </c>
      <c r="E12" s="92" t="s">
        <v>150</v>
      </c>
      <c r="G12" s="92" t="s">
        <v>79</v>
      </c>
      <c r="H12" s="92" t="s">
        <v>80</v>
      </c>
      <c r="I12" s="92" t="s">
        <v>81</v>
      </c>
      <c r="J12" s="92" t="s">
        <v>82</v>
      </c>
      <c r="K12" s="92" t="s">
        <v>83</v>
      </c>
    </row>
    <row r="13" spans="1:11" x14ac:dyDescent="0.25">
      <c r="A13" s="92" t="s">
        <v>69</v>
      </c>
      <c r="C13" s="92" t="s">
        <v>84</v>
      </c>
      <c r="F13" s="92" t="s">
        <v>85</v>
      </c>
      <c r="G13" s="92" t="s">
        <v>151</v>
      </c>
      <c r="H13" s="92" t="s">
        <v>152</v>
      </c>
      <c r="I13" s="92" t="s">
        <v>153</v>
      </c>
      <c r="J13" s="92" t="s">
        <v>154</v>
      </c>
      <c r="K13" s="92" t="s">
        <v>155</v>
      </c>
    </row>
    <row r="14" spans="1:11" x14ac:dyDescent="0.25">
      <c r="A14" s="92" t="s">
        <v>69</v>
      </c>
      <c r="C14" s="92" t="s">
        <v>86</v>
      </c>
      <c r="F14" s="92" t="s">
        <v>87</v>
      </c>
      <c r="G14" s="92" t="s">
        <v>156</v>
      </c>
      <c r="H14" s="92" t="s">
        <v>157</v>
      </c>
      <c r="I14" s="92" t="s">
        <v>158</v>
      </c>
      <c r="J14" s="92" t="s">
        <v>159</v>
      </c>
      <c r="K14" s="92" t="s">
        <v>160</v>
      </c>
    </row>
    <row r="15" spans="1:11" x14ac:dyDescent="0.25">
      <c r="A15" s="92" t="s">
        <v>69</v>
      </c>
      <c r="C15" s="92" t="s">
        <v>88</v>
      </c>
      <c r="G15" s="92" t="s">
        <v>161</v>
      </c>
    </row>
    <row r="16" spans="1:11" x14ac:dyDescent="0.25">
      <c r="C16" s="92" t="s">
        <v>89</v>
      </c>
      <c r="E16" s="92" t="s">
        <v>162</v>
      </c>
    </row>
    <row r="17" spans="1:8" x14ac:dyDescent="0.25">
      <c r="C17" s="92" t="s">
        <v>90</v>
      </c>
      <c r="F17" s="92" t="s">
        <v>163</v>
      </c>
      <c r="G17" s="92" t="s">
        <v>164</v>
      </c>
      <c r="H17" s="92" t="s">
        <v>91</v>
      </c>
    </row>
    <row r="18" spans="1:8" x14ac:dyDescent="0.25">
      <c r="C18" s="92" t="s">
        <v>92</v>
      </c>
      <c r="E18" s="92" t="s">
        <v>162</v>
      </c>
    </row>
    <row r="19" spans="1:8" x14ac:dyDescent="0.25">
      <c r="C19" s="92" t="s">
        <v>93</v>
      </c>
      <c r="F19" s="92" t="s">
        <v>165</v>
      </c>
      <c r="G19" s="92" t="s">
        <v>166</v>
      </c>
      <c r="H19" s="92" t="s">
        <v>91</v>
      </c>
    </row>
    <row r="21" spans="1:8" x14ac:dyDescent="0.25">
      <c r="A21" s="92" t="s">
        <v>94</v>
      </c>
      <c r="C21" s="92" t="s">
        <v>95</v>
      </c>
    </row>
    <row r="22" spans="1:8" x14ac:dyDescent="0.25">
      <c r="C22" s="92" t="s">
        <v>96</v>
      </c>
      <c r="G22" s="92" t="s">
        <v>167</v>
      </c>
    </row>
    <row r="26" spans="1:8" x14ac:dyDescent="0.25">
      <c r="C26" s="92" t="s">
        <v>97</v>
      </c>
      <c r="D26" s="92" t="s">
        <v>168</v>
      </c>
      <c r="E26" s="92" t="s">
        <v>169</v>
      </c>
      <c r="G26" s="92" t="s">
        <v>170</v>
      </c>
    </row>
    <row r="27" spans="1:8" x14ac:dyDescent="0.25">
      <c r="C27" s="92" t="s">
        <v>89</v>
      </c>
      <c r="D27" s="92" t="s">
        <v>171</v>
      </c>
      <c r="E27" s="92" t="s">
        <v>162</v>
      </c>
      <c r="G27" s="92" t="s">
        <v>172</v>
      </c>
    </row>
    <row r="28" spans="1:8" x14ac:dyDescent="0.25">
      <c r="C28" s="92" t="s">
        <v>90</v>
      </c>
      <c r="D28" s="92" t="s">
        <v>171</v>
      </c>
      <c r="G28" s="92" t="s">
        <v>173</v>
      </c>
      <c r="H28" s="92" t="s">
        <v>91</v>
      </c>
    </row>
    <row r="29" spans="1:8" x14ac:dyDescent="0.25">
      <c r="C29" s="92" t="s">
        <v>98</v>
      </c>
      <c r="D29" s="92" t="s">
        <v>174</v>
      </c>
      <c r="E29" s="92" t="s">
        <v>175</v>
      </c>
      <c r="G29" s="92" t="s">
        <v>176</v>
      </c>
    </row>
    <row r="30" spans="1:8" x14ac:dyDescent="0.25">
      <c r="C30" s="92" t="s">
        <v>11</v>
      </c>
      <c r="D30" s="92" t="s">
        <v>177</v>
      </c>
      <c r="E30" s="92" t="s">
        <v>178</v>
      </c>
      <c r="G30" s="92" t="s">
        <v>179</v>
      </c>
    </row>
    <row r="31" spans="1:8" x14ac:dyDescent="0.25">
      <c r="C31" s="92" t="s">
        <v>99</v>
      </c>
      <c r="E31" s="92" t="s">
        <v>180</v>
      </c>
      <c r="G31" s="92" t="s">
        <v>181</v>
      </c>
    </row>
    <row r="32" spans="1:8" x14ac:dyDescent="0.25">
      <c r="C32" s="92" t="s">
        <v>100</v>
      </c>
      <c r="D32" s="92" t="s">
        <v>171</v>
      </c>
      <c r="E32" s="92" t="s">
        <v>182</v>
      </c>
      <c r="G32" s="92" t="s">
        <v>183</v>
      </c>
    </row>
    <row r="33" spans="1:9" ht="330" x14ac:dyDescent="0.25">
      <c r="C33" s="93" t="s">
        <v>101</v>
      </c>
      <c r="D33" s="92" t="s">
        <v>184</v>
      </c>
      <c r="E33" s="92" t="s">
        <v>185</v>
      </c>
      <c r="G33" s="92" t="s">
        <v>186</v>
      </c>
    </row>
    <row r="34" spans="1:9" x14ac:dyDescent="0.25">
      <c r="C34" s="92" t="s">
        <v>102</v>
      </c>
      <c r="D34" s="92" t="s">
        <v>103</v>
      </c>
      <c r="G34" s="92" t="s">
        <v>187</v>
      </c>
      <c r="I34" s="92" t="s">
        <v>104</v>
      </c>
    </row>
    <row r="35" spans="1:9" x14ac:dyDescent="0.25">
      <c r="C35" s="92" t="s">
        <v>105</v>
      </c>
      <c r="G35" s="92" t="s">
        <v>188</v>
      </c>
      <c r="I35" s="92" t="s">
        <v>106</v>
      </c>
    </row>
    <row r="36" spans="1:9" x14ac:dyDescent="0.25">
      <c r="C36" s="92" t="s">
        <v>107</v>
      </c>
      <c r="G36" s="92" t="s">
        <v>189</v>
      </c>
      <c r="I36" s="92" t="s">
        <v>108</v>
      </c>
    </row>
    <row r="37" spans="1:9" x14ac:dyDescent="0.25">
      <c r="C37" s="92" t="s">
        <v>109</v>
      </c>
      <c r="G37" s="92" t="s">
        <v>190</v>
      </c>
      <c r="I37" s="92" t="s">
        <v>108</v>
      </c>
    </row>
    <row r="38" spans="1:9" x14ac:dyDescent="0.25">
      <c r="C38" s="92" t="s">
        <v>96</v>
      </c>
      <c r="D38" s="92" t="s">
        <v>171</v>
      </c>
      <c r="G38" s="92" t="s">
        <v>191</v>
      </c>
      <c r="I38" s="92" t="s">
        <v>108</v>
      </c>
    </row>
    <row r="40" spans="1:9" x14ac:dyDescent="0.25">
      <c r="C40" s="92" t="s">
        <v>110</v>
      </c>
      <c r="D40" s="92" t="s">
        <v>192</v>
      </c>
    </row>
    <row r="43" spans="1:9" x14ac:dyDescent="0.25">
      <c r="A43" s="92" t="s">
        <v>111</v>
      </c>
    </row>
    <row r="44" spans="1:9" x14ac:dyDescent="0.25">
      <c r="A44" s="92" t="s">
        <v>112</v>
      </c>
      <c r="D44" s="92" t="s">
        <v>193</v>
      </c>
    </row>
    <row r="45" spans="1:9" x14ac:dyDescent="0.25">
      <c r="A45" s="92" t="s">
        <v>113</v>
      </c>
      <c r="B45" s="92" t="s">
        <v>114</v>
      </c>
    </row>
    <row r="46" spans="1:9" x14ac:dyDescent="0.25">
      <c r="A46" s="92" t="s">
        <v>115</v>
      </c>
      <c r="B46" s="92" t="s">
        <v>114</v>
      </c>
    </row>
    <row r="47" spans="1:9" x14ac:dyDescent="0.25">
      <c r="A47" s="92" t="s">
        <v>116</v>
      </c>
      <c r="B47" s="92" t="s">
        <v>114</v>
      </c>
    </row>
    <row r="50" spans="1:1" x14ac:dyDescent="0.25">
      <c r="A50" s="92" t="s">
        <v>117</v>
      </c>
    </row>
    <row r="51" spans="1:1" x14ac:dyDescent="0.25">
      <c r="A51" s="92" t="s">
        <v>118</v>
      </c>
    </row>
    <row r="52" spans="1:1" x14ac:dyDescent="0.25">
      <c r="A52" s="92" t="s">
        <v>119</v>
      </c>
    </row>
    <row r="53" spans="1:1" x14ac:dyDescent="0.25">
      <c r="A53" s="92" t="s">
        <v>120</v>
      </c>
    </row>
    <row r="55" spans="1:1" x14ac:dyDescent="0.25">
      <c r="A55" s="92" t="s">
        <v>194</v>
      </c>
    </row>
    <row r="56" spans="1:1" x14ac:dyDescent="0.25">
      <c r="A56" s="92" t="s">
        <v>121</v>
      </c>
    </row>
    <row r="58" spans="1:1" x14ac:dyDescent="0.25">
      <c r="A58" s="92" t="s">
        <v>195</v>
      </c>
    </row>
    <row r="59" spans="1:1" x14ac:dyDescent="0.25">
      <c r="A59" s="92" t="s">
        <v>122</v>
      </c>
    </row>
    <row r="61" spans="1:1" x14ac:dyDescent="0.25">
      <c r="A61" s="92" t="s">
        <v>196</v>
      </c>
    </row>
    <row r="62" spans="1:1" x14ac:dyDescent="0.25">
      <c r="A62" s="92" t="s">
        <v>123</v>
      </c>
    </row>
    <row r="63" spans="1:1" x14ac:dyDescent="0.25">
      <c r="A63" s="92" t="s">
        <v>124</v>
      </c>
    </row>
    <row r="64" spans="1:1" x14ac:dyDescent="0.25">
      <c r="A64" s="92" t="s">
        <v>125</v>
      </c>
    </row>
    <row r="67" spans="1:1" x14ac:dyDescent="0.25">
      <c r="A67" s="92" t="s">
        <v>197</v>
      </c>
    </row>
    <row r="68" spans="1:1" x14ac:dyDescent="0.25">
      <c r="A68" s="92" t="s">
        <v>126</v>
      </c>
    </row>
    <row r="69" spans="1:1" x14ac:dyDescent="0.25">
      <c r="A69" s="92" t="s">
        <v>127</v>
      </c>
    </row>
    <row r="72" spans="1:1" x14ac:dyDescent="0.25">
      <c r="A72" s="92" t="s">
        <v>198</v>
      </c>
    </row>
    <row r="73" spans="1:1" x14ac:dyDescent="0.25">
      <c r="A73" s="92" t="s">
        <v>128</v>
      </c>
    </row>
    <row r="74" spans="1:1" x14ac:dyDescent="0.25">
      <c r="A74" s="92" t="s">
        <v>129</v>
      </c>
    </row>
    <row r="77" spans="1:1" x14ac:dyDescent="0.25">
      <c r="A77" s="92" t="s">
        <v>199</v>
      </c>
    </row>
    <row r="78" spans="1:1" x14ac:dyDescent="0.25">
      <c r="A78" s="92" t="s">
        <v>130</v>
      </c>
    </row>
    <row r="82" spans="1:1" x14ac:dyDescent="0.25">
      <c r="A82" s="92" t="s">
        <v>200</v>
      </c>
    </row>
    <row r="83" spans="1:1" x14ac:dyDescent="0.25">
      <c r="A83" s="92" t="s">
        <v>131</v>
      </c>
    </row>
    <row r="84" spans="1:1" x14ac:dyDescent="0.25">
      <c r="A84" s="9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5"/>
  <sheetViews>
    <sheetView workbookViewId="0"/>
  </sheetViews>
  <sheetFormatPr defaultRowHeight="15" x14ac:dyDescent="0.25"/>
  <sheetData>
    <row r="1" spans="1:62" x14ac:dyDescent="0.25">
      <c r="A1" s="92" t="s">
        <v>256</v>
      </c>
      <c r="B1" s="92" t="s">
        <v>0</v>
      </c>
      <c r="C1" s="92" t="s">
        <v>0</v>
      </c>
      <c r="D1" s="92" t="s">
        <v>0</v>
      </c>
      <c r="L1" s="92" t="s">
        <v>40</v>
      </c>
      <c r="Q1" s="92" t="s">
        <v>12</v>
      </c>
      <c r="S1" s="92" t="s">
        <v>12</v>
      </c>
      <c r="T1" s="92" t="s">
        <v>12</v>
      </c>
      <c r="U1" s="92" t="s">
        <v>12</v>
      </c>
      <c r="V1" s="92" t="s">
        <v>12</v>
      </c>
      <c r="W1" s="92" t="s">
        <v>12</v>
      </c>
      <c r="X1" s="92" t="s">
        <v>12</v>
      </c>
      <c r="Y1" s="92" t="s">
        <v>12</v>
      </c>
      <c r="Z1" s="92" t="s">
        <v>12</v>
      </c>
      <c r="AA1" s="92" t="s">
        <v>12</v>
      </c>
      <c r="AB1" s="92" t="s">
        <v>12</v>
      </c>
      <c r="AC1" s="92" t="s">
        <v>12</v>
      </c>
      <c r="AD1" s="92" t="s">
        <v>12</v>
      </c>
      <c r="AE1" s="92" t="s">
        <v>12</v>
      </c>
      <c r="AF1" s="92" t="s">
        <v>12</v>
      </c>
      <c r="AG1" s="92" t="s">
        <v>12</v>
      </c>
      <c r="AH1" s="92" t="s">
        <v>12</v>
      </c>
      <c r="AI1" s="92" t="s">
        <v>12</v>
      </c>
      <c r="AJ1" s="92" t="s">
        <v>12</v>
      </c>
      <c r="AK1" s="92" t="s">
        <v>12</v>
      </c>
      <c r="AL1" s="92" t="s">
        <v>12</v>
      </c>
      <c r="AM1" s="92" t="s">
        <v>12</v>
      </c>
      <c r="AN1" s="92" t="s">
        <v>12</v>
      </c>
      <c r="AO1" s="92" t="s">
        <v>12</v>
      </c>
      <c r="AP1" s="92" t="s">
        <v>12</v>
      </c>
      <c r="AQ1" s="92" t="s">
        <v>12</v>
      </c>
      <c r="AR1" s="92" t="s">
        <v>12</v>
      </c>
      <c r="AZ1" s="92" t="s">
        <v>12</v>
      </c>
      <c r="BA1" s="92" t="s">
        <v>12</v>
      </c>
      <c r="BB1" s="92" t="s">
        <v>12</v>
      </c>
      <c r="BC1" s="92" t="s">
        <v>12</v>
      </c>
      <c r="BD1" s="92" t="s">
        <v>12</v>
      </c>
      <c r="BE1" s="92" t="s">
        <v>12</v>
      </c>
      <c r="BF1" s="92" t="s">
        <v>12</v>
      </c>
      <c r="BG1" s="92" t="s">
        <v>12</v>
      </c>
      <c r="BH1" s="92" t="s">
        <v>12</v>
      </c>
      <c r="BI1" s="92" t="s">
        <v>12</v>
      </c>
      <c r="BJ1" s="92" t="s">
        <v>12</v>
      </c>
    </row>
    <row r="2" spans="1:62" x14ac:dyDescent="0.25">
      <c r="A2" s="92" t="s">
        <v>0</v>
      </c>
    </row>
    <row r="3" spans="1:62" x14ac:dyDescent="0.25">
      <c r="A3" s="92" t="s">
        <v>0</v>
      </c>
    </row>
    <row r="4" spans="1:62" x14ac:dyDescent="0.25">
      <c r="A4" s="92" t="s">
        <v>0</v>
      </c>
      <c r="B4" s="92" t="s">
        <v>13</v>
      </c>
      <c r="C4" s="92" t="s">
        <v>202</v>
      </c>
    </row>
    <row r="5" spans="1:62" x14ac:dyDescent="0.25">
      <c r="A5" s="92" t="s">
        <v>0</v>
      </c>
      <c r="C5" s="92" t="s">
        <v>203</v>
      </c>
    </row>
    <row r="6" spans="1:62" x14ac:dyDescent="0.25">
      <c r="A6" s="92" t="s">
        <v>0</v>
      </c>
    </row>
    <row r="7" spans="1:62" x14ac:dyDescent="0.25">
      <c r="A7" s="92" t="s">
        <v>0</v>
      </c>
      <c r="B7" s="92" t="s">
        <v>1</v>
      </c>
      <c r="C7" s="92" t="s">
        <v>204</v>
      </c>
    </row>
    <row r="8" spans="1:62" x14ac:dyDescent="0.25">
      <c r="A8" s="92" t="s">
        <v>0</v>
      </c>
    </row>
    <row r="9" spans="1:62" x14ac:dyDescent="0.25">
      <c r="A9" s="92" t="s">
        <v>0</v>
      </c>
      <c r="B9" s="92" t="s">
        <v>30</v>
      </c>
      <c r="C9" s="92" t="s">
        <v>1285</v>
      </c>
    </row>
    <row r="10" spans="1:62" x14ac:dyDescent="0.25">
      <c r="A10" s="92" t="s">
        <v>0</v>
      </c>
      <c r="B10" s="92" t="s">
        <v>2</v>
      </c>
      <c r="C10" s="92" t="s">
        <v>205</v>
      </c>
    </row>
    <row r="11" spans="1:62" x14ac:dyDescent="0.25">
      <c r="A11" s="92" t="s">
        <v>0</v>
      </c>
      <c r="B11" s="92" t="s">
        <v>17</v>
      </c>
      <c r="C11" s="92" t="s">
        <v>56</v>
      </c>
    </row>
    <row r="12" spans="1:62" x14ac:dyDescent="0.25">
      <c r="A12" s="92" t="s">
        <v>0</v>
      </c>
      <c r="B12" s="92" t="s">
        <v>41</v>
      </c>
      <c r="C12" s="92" t="s">
        <v>42</v>
      </c>
    </row>
    <row r="13" spans="1:62" x14ac:dyDescent="0.25">
      <c r="A13" s="92" t="s">
        <v>0</v>
      </c>
    </row>
    <row r="14" spans="1:62" x14ac:dyDescent="0.25">
      <c r="E14" s="92" t="s">
        <v>1286</v>
      </c>
    </row>
    <row r="15" spans="1:62" x14ac:dyDescent="0.25">
      <c r="E15" s="92" t="s">
        <v>206</v>
      </c>
    </row>
    <row r="16" spans="1:62" x14ac:dyDescent="0.25">
      <c r="E16" s="92" t="s">
        <v>207</v>
      </c>
    </row>
    <row r="17" spans="1:62" x14ac:dyDescent="0.25">
      <c r="E17" s="92" t="s">
        <v>58</v>
      </c>
    </row>
    <row r="18" spans="1:62" x14ac:dyDescent="0.25">
      <c r="E18" s="92" t="s">
        <v>59</v>
      </c>
    </row>
    <row r="20" spans="1:62" x14ac:dyDescent="0.25">
      <c r="A20" s="92" t="s">
        <v>12</v>
      </c>
      <c r="E20" s="92" t="s">
        <v>30</v>
      </c>
      <c r="F20" s="92" t="s">
        <v>18</v>
      </c>
      <c r="G20" s="92" t="s">
        <v>19</v>
      </c>
      <c r="H20" s="92" t="s">
        <v>20</v>
      </c>
      <c r="I20" s="92" t="s">
        <v>21</v>
      </c>
      <c r="J20" s="92" t="s">
        <v>22</v>
      </c>
      <c r="K20" s="92" t="s">
        <v>23</v>
      </c>
      <c r="L20" s="92" t="s">
        <v>24</v>
      </c>
      <c r="M20" s="92" t="s">
        <v>25</v>
      </c>
      <c r="N20" s="92" t="s">
        <v>26</v>
      </c>
      <c r="O20" s="92" t="s">
        <v>27</v>
      </c>
      <c r="P20" s="92" t="s">
        <v>28</v>
      </c>
      <c r="Q20" s="92" t="s">
        <v>29</v>
      </c>
    </row>
    <row r="21" spans="1:62" x14ac:dyDescent="0.25">
      <c r="C21" s="92" t="s">
        <v>31</v>
      </c>
      <c r="D21" s="92" t="s">
        <v>3</v>
      </c>
      <c r="E21" s="92" t="s">
        <v>4</v>
      </c>
      <c r="F21" s="92" t="s">
        <v>5</v>
      </c>
      <c r="G21" s="92" t="s">
        <v>6</v>
      </c>
      <c r="H21" s="92" t="s">
        <v>7</v>
      </c>
      <c r="I21" s="92" t="s">
        <v>16</v>
      </c>
      <c r="J21" s="92" t="s">
        <v>8</v>
      </c>
      <c r="K21" s="92" t="s">
        <v>43</v>
      </c>
      <c r="L21" s="92" t="s">
        <v>44</v>
      </c>
      <c r="M21" s="92" t="s">
        <v>10</v>
      </c>
      <c r="N21" s="92" t="s">
        <v>57</v>
      </c>
      <c r="O21" s="92" t="s">
        <v>60</v>
      </c>
      <c r="P21" s="92" t="s">
        <v>61</v>
      </c>
      <c r="Q21" s="92" t="s">
        <v>11</v>
      </c>
      <c r="R21" s="92" t="s">
        <v>11</v>
      </c>
      <c r="U21" s="92" t="s">
        <v>11</v>
      </c>
      <c r="X21" s="92" t="s">
        <v>9</v>
      </c>
      <c r="Y21" s="92" t="s">
        <v>15</v>
      </c>
      <c r="Z21" s="92" t="s">
        <v>14</v>
      </c>
      <c r="AA21" s="92" t="s">
        <v>208</v>
      </c>
      <c r="AE21" s="92" t="s">
        <v>32</v>
      </c>
      <c r="AF21" s="92" t="s">
        <v>33</v>
      </c>
      <c r="AG21" s="92" t="s">
        <v>35</v>
      </c>
      <c r="AH21" s="92" t="s">
        <v>34</v>
      </c>
      <c r="AI21" s="92" t="s">
        <v>36</v>
      </c>
      <c r="AJ21" s="92" t="s">
        <v>37</v>
      </c>
      <c r="AK21" s="92" t="s">
        <v>38</v>
      </c>
      <c r="AL21" s="92" t="s">
        <v>39</v>
      </c>
      <c r="AZ21" s="92" t="s">
        <v>21</v>
      </c>
      <c r="BA21" s="92" t="s">
        <v>45</v>
      </c>
      <c r="BB21" s="92" t="s">
        <v>46</v>
      </c>
      <c r="BC21" s="92" t="s">
        <v>47</v>
      </c>
      <c r="BD21" s="92" t="s">
        <v>48</v>
      </c>
      <c r="BE21" s="92" t="s">
        <v>49</v>
      </c>
      <c r="BF21" s="92" t="s">
        <v>50</v>
      </c>
      <c r="BG21" s="92" t="s">
        <v>51</v>
      </c>
      <c r="BH21" s="92" t="s">
        <v>52</v>
      </c>
      <c r="BI21" s="92" t="s">
        <v>53</v>
      </c>
      <c r="BJ21" s="92" t="s">
        <v>54</v>
      </c>
    </row>
    <row r="22" spans="1:62" x14ac:dyDescent="0.25">
      <c r="C22" s="92" t="s">
        <v>209</v>
      </c>
      <c r="D22" s="92" t="s">
        <v>210</v>
      </c>
      <c r="E22" s="92" t="s">
        <v>211</v>
      </c>
      <c r="F22" s="92" t="s">
        <v>212</v>
      </c>
      <c r="G22" s="92" t="s">
        <v>213</v>
      </c>
      <c r="H22" s="92" t="s">
        <v>214</v>
      </c>
      <c r="I22" s="92" t="s">
        <v>215</v>
      </c>
      <c r="J22" s="92" t="s">
        <v>216</v>
      </c>
      <c r="K22" s="92" t="s">
        <v>217</v>
      </c>
      <c r="L22" s="92" t="s">
        <v>218</v>
      </c>
      <c r="M22" s="92" t="s">
        <v>219</v>
      </c>
      <c r="N22" s="92" t="s">
        <v>220</v>
      </c>
      <c r="O22" s="92" t="s">
        <v>221</v>
      </c>
      <c r="P22" s="92" t="s">
        <v>222</v>
      </c>
      <c r="R22" s="92" t="s">
        <v>223</v>
      </c>
      <c r="Y22" s="92" t="s">
        <v>224</v>
      </c>
      <c r="Z22" s="92" t="s">
        <v>225</v>
      </c>
      <c r="AC22" s="92" t="s">
        <v>226</v>
      </c>
      <c r="AD22" s="92" t="s">
        <v>227</v>
      </c>
      <c r="AN22" s="92" t="s">
        <v>228</v>
      </c>
      <c r="AO22" s="92" t="s">
        <v>229</v>
      </c>
      <c r="AP22" s="92" t="s">
        <v>230</v>
      </c>
      <c r="AQ22" s="92" t="s">
        <v>231</v>
      </c>
      <c r="AR22" s="92" t="s">
        <v>232</v>
      </c>
      <c r="AZ22" s="92" t="s">
        <v>233</v>
      </c>
      <c r="BA22" s="92" t="s">
        <v>234</v>
      </c>
      <c r="BB22" s="92" t="s">
        <v>235</v>
      </c>
      <c r="BC22" s="92" t="s">
        <v>236</v>
      </c>
      <c r="BD22" s="92" t="s">
        <v>237</v>
      </c>
      <c r="BE22" s="92" t="s">
        <v>238</v>
      </c>
      <c r="BF22" s="92" t="s">
        <v>239</v>
      </c>
      <c r="BG22" s="92" t="s">
        <v>240</v>
      </c>
      <c r="BH22" s="92" t="s">
        <v>241</v>
      </c>
      <c r="BI22" s="92" t="s">
        <v>242</v>
      </c>
      <c r="BJ22" s="92" t="s">
        <v>243</v>
      </c>
    </row>
    <row r="23" spans="1:62" x14ac:dyDescent="0.25">
      <c r="D23" s="92" t="s">
        <v>244</v>
      </c>
      <c r="E23" s="92" t="s">
        <v>245</v>
      </c>
      <c r="R23" s="92" t="s">
        <v>55</v>
      </c>
      <c r="AF23" s="92" t="s">
        <v>246</v>
      </c>
      <c r="AM23" s="92" t="s">
        <v>247</v>
      </c>
      <c r="AQ23" s="92" t="s">
        <v>248</v>
      </c>
      <c r="AR23" s="92" t="s">
        <v>249</v>
      </c>
      <c r="AZ23" s="92" t="s">
        <v>250</v>
      </c>
      <c r="BB23" s="92" t="s">
        <v>251</v>
      </c>
      <c r="BE23" s="92" t="s">
        <v>252</v>
      </c>
      <c r="BF23" s="92" t="s">
        <v>253</v>
      </c>
      <c r="BG23" s="92" t="s">
        <v>254</v>
      </c>
      <c r="BI23" s="92" t="s">
        <v>255</v>
      </c>
    </row>
    <row r="24" spans="1:62" x14ac:dyDescent="0.25">
      <c r="A24" s="92" t="s">
        <v>12</v>
      </c>
    </row>
    <row r="25" spans="1:62" x14ac:dyDescent="0.25">
      <c r="A25" s="92" t="s">
        <v>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5"/>
  <sheetViews>
    <sheetView workbookViewId="0"/>
  </sheetViews>
  <sheetFormatPr defaultRowHeight="15" x14ac:dyDescent="0.25"/>
  <sheetData>
    <row r="1" spans="1:62" x14ac:dyDescent="0.25">
      <c r="A1" s="92" t="s">
        <v>256</v>
      </c>
      <c r="B1" s="92" t="s">
        <v>0</v>
      </c>
      <c r="C1" s="92" t="s">
        <v>0</v>
      </c>
      <c r="D1" s="92" t="s">
        <v>0</v>
      </c>
      <c r="L1" s="92" t="s">
        <v>40</v>
      </c>
      <c r="Q1" s="92" t="s">
        <v>12</v>
      </c>
      <c r="S1" s="92" t="s">
        <v>12</v>
      </c>
      <c r="T1" s="92" t="s">
        <v>12</v>
      </c>
      <c r="U1" s="92" t="s">
        <v>12</v>
      </c>
      <c r="V1" s="92" t="s">
        <v>12</v>
      </c>
      <c r="W1" s="92" t="s">
        <v>12</v>
      </c>
      <c r="X1" s="92" t="s">
        <v>12</v>
      </c>
      <c r="Y1" s="92" t="s">
        <v>12</v>
      </c>
      <c r="Z1" s="92" t="s">
        <v>12</v>
      </c>
      <c r="AA1" s="92" t="s">
        <v>12</v>
      </c>
      <c r="AB1" s="92" t="s">
        <v>12</v>
      </c>
      <c r="AC1" s="92" t="s">
        <v>12</v>
      </c>
      <c r="AD1" s="92" t="s">
        <v>12</v>
      </c>
      <c r="AE1" s="92" t="s">
        <v>12</v>
      </c>
      <c r="AF1" s="92" t="s">
        <v>12</v>
      </c>
      <c r="AG1" s="92" t="s">
        <v>12</v>
      </c>
      <c r="AH1" s="92" t="s">
        <v>12</v>
      </c>
      <c r="AI1" s="92" t="s">
        <v>12</v>
      </c>
      <c r="AJ1" s="92" t="s">
        <v>12</v>
      </c>
      <c r="AK1" s="92" t="s">
        <v>12</v>
      </c>
      <c r="AL1" s="92" t="s">
        <v>12</v>
      </c>
      <c r="AM1" s="92" t="s">
        <v>12</v>
      </c>
      <c r="AN1" s="92" t="s">
        <v>12</v>
      </c>
      <c r="AO1" s="92" t="s">
        <v>12</v>
      </c>
      <c r="AP1" s="92" t="s">
        <v>12</v>
      </c>
      <c r="AQ1" s="92" t="s">
        <v>12</v>
      </c>
      <c r="AR1" s="92" t="s">
        <v>12</v>
      </c>
      <c r="AZ1" s="92" t="s">
        <v>12</v>
      </c>
      <c r="BA1" s="92" t="s">
        <v>12</v>
      </c>
      <c r="BB1" s="92" t="s">
        <v>12</v>
      </c>
      <c r="BC1" s="92" t="s">
        <v>12</v>
      </c>
      <c r="BD1" s="92" t="s">
        <v>12</v>
      </c>
      <c r="BE1" s="92" t="s">
        <v>12</v>
      </c>
      <c r="BF1" s="92" t="s">
        <v>12</v>
      </c>
      <c r="BG1" s="92" t="s">
        <v>12</v>
      </c>
      <c r="BH1" s="92" t="s">
        <v>12</v>
      </c>
      <c r="BI1" s="92" t="s">
        <v>12</v>
      </c>
      <c r="BJ1" s="92" t="s">
        <v>12</v>
      </c>
    </row>
    <row r="2" spans="1:62" x14ac:dyDescent="0.25">
      <c r="A2" s="92" t="s">
        <v>0</v>
      </c>
    </row>
    <row r="3" spans="1:62" x14ac:dyDescent="0.25">
      <c r="A3" s="92" t="s">
        <v>0</v>
      </c>
    </row>
    <row r="4" spans="1:62" x14ac:dyDescent="0.25">
      <c r="A4" s="92" t="s">
        <v>0</v>
      </c>
      <c r="B4" s="92" t="s">
        <v>13</v>
      </c>
      <c r="C4" s="92" t="s">
        <v>202</v>
      </c>
    </row>
    <row r="5" spans="1:62" x14ac:dyDescent="0.25">
      <c r="A5" s="92" t="s">
        <v>0</v>
      </c>
      <c r="C5" s="92" t="s">
        <v>203</v>
      </c>
    </row>
    <row r="6" spans="1:62" x14ac:dyDescent="0.25">
      <c r="A6" s="92" t="s">
        <v>0</v>
      </c>
    </row>
    <row r="7" spans="1:62" x14ac:dyDescent="0.25">
      <c r="A7" s="92" t="s">
        <v>0</v>
      </c>
      <c r="B7" s="92" t="s">
        <v>1</v>
      </c>
      <c r="C7" s="92" t="s">
        <v>204</v>
      </c>
    </row>
    <row r="8" spans="1:62" x14ac:dyDescent="0.25">
      <c r="A8" s="92" t="s">
        <v>0</v>
      </c>
    </row>
    <row r="9" spans="1:62" x14ac:dyDescent="0.25">
      <c r="A9" s="92" t="s">
        <v>0</v>
      </c>
      <c r="B9" s="92" t="s">
        <v>30</v>
      </c>
      <c r="C9" s="92" t="s">
        <v>133</v>
      </c>
    </row>
    <row r="10" spans="1:62" x14ac:dyDescent="0.25">
      <c r="A10" s="92" t="s">
        <v>0</v>
      </c>
      <c r="B10" s="92" t="s">
        <v>2</v>
      </c>
      <c r="C10" s="92" t="s">
        <v>205</v>
      </c>
    </row>
    <row r="11" spans="1:62" x14ac:dyDescent="0.25">
      <c r="A11" s="92" t="s">
        <v>0</v>
      </c>
      <c r="B11" s="92" t="s">
        <v>17</v>
      </c>
      <c r="C11" s="92" t="s">
        <v>56</v>
      </c>
    </row>
    <row r="12" spans="1:62" x14ac:dyDescent="0.25">
      <c r="A12" s="92" t="s">
        <v>0</v>
      </c>
      <c r="B12" s="92" t="s">
        <v>41</v>
      </c>
      <c r="C12" s="92" t="s">
        <v>42</v>
      </c>
    </row>
    <row r="13" spans="1:62" x14ac:dyDescent="0.25">
      <c r="A13" s="92" t="s">
        <v>0</v>
      </c>
    </row>
    <row r="14" spans="1:62" x14ac:dyDescent="0.25">
      <c r="E14" s="92" t="s">
        <v>133</v>
      </c>
    </row>
    <row r="15" spans="1:62" x14ac:dyDescent="0.25">
      <c r="E15" s="92" t="s">
        <v>206</v>
      </c>
    </row>
    <row r="16" spans="1:62" x14ac:dyDescent="0.25">
      <c r="E16" s="92" t="s">
        <v>207</v>
      </c>
    </row>
    <row r="17" spans="1:62" x14ac:dyDescent="0.25">
      <c r="E17" s="92" t="s">
        <v>58</v>
      </c>
    </row>
    <row r="18" spans="1:62" x14ac:dyDescent="0.25">
      <c r="E18" s="92" t="s">
        <v>59</v>
      </c>
    </row>
    <row r="20" spans="1:62" x14ac:dyDescent="0.25">
      <c r="A20" s="92" t="s">
        <v>12</v>
      </c>
      <c r="E20" s="92" t="s">
        <v>30</v>
      </c>
      <c r="F20" s="92" t="s">
        <v>18</v>
      </c>
      <c r="G20" s="92" t="s">
        <v>19</v>
      </c>
      <c r="H20" s="92" t="s">
        <v>20</v>
      </c>
      <c r="I20" s="92" t="s">
        <v>21</v>
      </c>
      <c r="J20" s="92" t="s">
        <v>22</v>
      </c>
      <c r="K20" s="92" t="s">
        <v>23</v>
      </c>
      <c r="L20" s="92" t="s">
        <v>24</v>
      </c>
      <c r="M20" s="92" t="s">
        <v>25</v>
      </c>
      <c r="N20" s="92" t="s">
        <v>26</v>
      </c>
      <c r="O20" s="92" t="s">
        <v>27</v>
      </c>
      <c r="P20" s="92" t="s">
        <v>28</v>
      </c>
      <c r="Q20" s="92" t="s">
        <v>29</v>
      </c>
    </row>
    <row r="21" spans="1:62" x14ac:dyDescent="0.25">
      <c r="C21" s="92" t="s">
        <v>31</v>
      </c>
      <c r="D21" s="92" t="s">
        <v>3</v>
      </c>
      <c r="E21" s="92" t="s">
        <v>4</v>
      </c>
      <c r="F21" s="92" t="s">
        <v>5</v>
      </c>
      <c r="G21" s="92" t="s">
        <v>6</v>
      </c>
      <c r="H21" s="92" t="s">
        <v>7</v>
      </c>
      <c r="I21" s="92" t="s">
        <v>16</v>
      </c>
      <c r="J21" s="92" t="s">
        <v>8</v>
      </c>
      <c r="K21" s="92" t="s">
        <v>43</v>
      </c>
      <c r="L21" s="92" t="s">
        <v>44</v>
      </c>
      <c r="M21" s="92" t="s">
        <v>10</v>
      </c>
      <c r="N21" s="92" t="s">
        <v>57</v>
      </c>
      <c r="O21" s="92" t="s">
        <v>60</v>
      </c>
      <c r="P21" s="92" t="s">
        <v>61</v>
      </c>
      <c r="Q21" s="92" t="s">
        <v>11</v>
      </c>
      <c r="R21" s="92" t="s">
        <v>11</v>
      </c>
      <c r="U21" s="92" t="s">
        <v>11</v>
      </c>
      <c r="X21" s="92" t="s">
        <v>9</v>
      </c>
      <c r="Y21" s="92" t="s">
        <v>15</v>
      </c>
      <c r="Z21" s="92" t="s">
        <v>14</v>
      </c>
      <c r="AA21" s="92" t="s">
        <v>208</v>
      </c>
      <c r="AE21" s="92" t="s">
        <v>32</v>
      </c>
      <c r="AF21" s="92" t="s">
        <v>33</v>
      </c>
      <c r="AG21" s="92" t="s">
        <v>35</v>
      </c>
      <c r="AH21" s="92" t="s">
        <v>34</v>
      </c>
      <c r="AI21" s="92" t="s">
        <v>36</v>
      </c>
      <c r="AJ21" s="92" t="s">
        <v>37</v>
      </c>
      <c r="AK21" s="92" t="s">
        <v>38</v>
      </c>
      <c r="AL21" s="92" t="s">
        <v>39</v>
      </c>
      <c r="AZ21" s="92" t="s">
        <v>21</v>
      </c>
      <c r="BA21" s="92" t="s">
        <v>45</v>
      </c>
      <c r="BB21" s="92" t="s">
        <v>46</v>
      </c>
      <c r="BC21" s="92" t="s">
        <v>47</v>
      </c>
      <c r="BD21" s="92" t="s">
        <v>48</v>
      </c>
      <c r="BE21" s="92" t="s">
        <v>49</v>
      </c>
      <c r="BF21" s="92" t="s">
        <v>50</v>
      </c>
      <c r="BG21" s="92" t="s">
        <v>51</v>
      </c>
      <c r="BH21" s="92" t="s">
        <v>52</v>
      </c>
      <c r="BI21" s="92" t="s">
        <v>53</v>
      </c>
      <c r="BJ21" s="92" t="s">
        <v>54</v>
      </c>
    </row>
    <row r="22" spans="1:62" x14ac:dyDescent="0.25">
      <c r="C22" s="92" t="s">
        <v>209</v>
      </c>
      <c r="D22" s="92" t="s">
        <v>210</v>
      </c>
      <c r="E22" s="92" t="s">
        <v>211</v>
      </c>
      <c r="F22" s="92" t="s">
        <v>212</v>
      </c>
      <c r="G22" s="92" t="s">
        <v>213</v>
      </c>
      <c r="H22" s="92" t="s">
        <v>214</v>
      </c>
      <c r="I22" s="92" t="s">
        <v>215</v>
      </c>
      <c r="J22" s="92" t="s">
        <v>216</v>
      </c>
      <c r="K22" s="92" t="s">
        <v>217</v>
      </c>
      <c r="L22" s="92" t="s">
        <v>218</v>
      </c>
      <c r="M22" s="92" t="s">
        <v>219</v>
      </c>
      <c r="N22" s="92" t="s">
        <v>220</v>
      </c>
      <c r="O22" s="92" t="s">
        <v>221</v>
      </c>
      <c r="P22" s="92" t="s">
        <v>222</v>
      </c>
      <c r="R22" s="92" t="s">
        <v>223</v>
      </c>
      <c r="Y22" s="92" t="s">
        <v>224</v>
      </c>
      <c r="Z22" s="92" t="s">
        <v>225</v>
      </c>
      <c r="AC22" s="92" t="s">
        <v>226</v>
      </c>
      <c r="AD22" s="92" t="s">
        <v>227</v>
      </c>
      <c r="AN22" s="92" t="s">
        <v>228</v>
      </c>
      <c r="AO22" s="92" t="s">
        <v>229</v>
      </c>
      <c r="AP22" s="92" t="s">
        <v>230</v>
      </c>
      <c r="AQ22" s="92" t="s">
        <v>231</v>
      </c>
      <c r="AR22" s="92" t="s">
        <v>232</v>
      </c>
      <c r="AZ22" s="92" t="s">
        <v>233</v>
      </c>
      <c r="BA22" s="92" t="s">
        <v>234</v>
      </c>
      <c r="BB22" s="92" t="s">
        <v>235</v>
      </c>
      <c r="BC22" s="92" t="s">
        <v>236</v>
      </c>
      <c r="BD22" s="92" t="s">
        <v>237</v>
      </c>
      <c r="BE22" s="92" t="s">
        <v>238</v>
      </c>
      <c r="BF22" s="92" t="s">
        <v>239</v>
      </c>
      <c r="BG22" s="92" t="s">
        <v>240</v>
      </c>
      <c r="BH22" s="92" t="s">
        <v>241</v>
      </c>
      <c r="BI22" s="92" t="s">
        <v>242</v>
      </c>
      <c r="BJ22" s="92" t="s">
        <v>243</v>
      </c>
    </row>
    <row r="23" spans="1:62" x14ac:dyDescent="0.25">
      <c r="D23" s="92" t="s">
        <v>244</v>
      </c>
      <c r="E23" s="92" t="s">
        <v>245</v>
      </c>
      <c r="R23" s="92" t="s">
        <v>55</v>
      </c>
      <c r="AF23" s="92" t="s">
        <v>246</v>
      </c>
      <c r="AM23" s="92" t="s">
        <v>247</v>
      </c>
      <c r="AQ23" s="92" t="s">
        <v>248</v>
      </c>
      <c r="AR23" s="92" t="s">
        <v>249</v>
      </c>
      <c r="AZ23" s="92" t="s">
        <v>250</v>
      </c>
      <c r="BB23" s="92" t="s">
        <v>251</v>
      </c>
      <c r="BE23" s="92" t="s">
        <v>252</v>
      </c>
      <c r="BF23" s="92" t="s">
        <v>253</v>
      </c>
      <c r="BG23" s="92" t="s">
        <v>254</v>
      </c>
      <c r="BI23" s="92" t="s">
        <v>255</v>
      </c>
    </row>
    <row r="24" spans="1:62" x14ac:dyDescent="0.25">
      <c r="A24" s="92" t="s">
        <v>12</v>
      </c>
    </row>
    <row r="25" spans="1:62" x14ac:dyDescent="0.25">
      <c r="A25" s="92" t="s">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heetViews>
  <sheetFormatPr defaultRowHeight="15" x14ac:dyDescent="0.25"/>
  <sheetData>
    <row r="1" spans="1:11" x14ac:dyDescent="0.25">
      <c r="A1" s="92" t="s">
        <v>259</v>
      </c>
      <c r="C1" s="92" t="s">
        <v>62</v>
      </c>
      <c r="D1" s="92" t="s">
        <v>63</v>
      </c>
      <c r="E1" s="92" t="s">
        <v>64</v>
      </c>
    </row>
    <row r="2" spans="1:11" x14ac:dyDescent="0.25">
      <c r="G2" s="92" t="s">
        <v>65</v>
      </c>
    </row>
    <row r="3" spans="1:11" x14ac:dyDescent="0.25">
      <c r="F3" s="92" t="s">
        <v>66</v>
      </c>
    </row>
    <row r="4" spans="1:11" x14ac:dyDescent="0.25">
      <c r="F4" s="92" t="s">
        <v>67</v>
      </c>
      <c r="G4" s="92" t="s">
        <v>68</v>
      </c>
    </row>
    <row r="5" spans="1:11" x14ac:dyDescent="0.25">
      <c r="F5" s="92" t="s">
        <v>134</v>
      </c>
      <c r="G5" s="92" t="s">
        <v>135</v>
      </c>
    </row>
    <row r="7" spans="1:11" x14ac:dyDescent="0.25">
      <c r="C7" s="92" t="s">
        <v>70</v>
      </c>
      <c r="E7" s="92" t="s">
        <v>136</v>
      </c>
    </row>
    <row r="8" spans="1:11" x14ac:dyDescent="0.25">
      <c r="C8" s="92" t="s">
        <v>71</v>
      </c>
      <c r="E8" s="92" t="s">
        <v>137</v>
      </c>
      <c r="G8" s="92" t="s">
        <v>138</v>
      </c>
      <c r="I8" s="92" t="s">
        <v>72</v>
      </c>
      <c r="J8" s="92" t="s">
        <v>139</v>
      </c>
    </row>
    <row r="9" spans="1:11" x14ac:dyDescent="0.25">
      <c r="C9" s="92" t="s">
        <v>73</v>
      </c>
      <c r="E9" s="92" t="s">
        <v>140</v>
      </c>
      <c r="G9" s="92" t="s">
        <v>141</v>
      </c>
      <c r="I9" s="92" t="s">
        <v>74</v>
      </c>
      <c r="J9" s="92" t="s">
        <v>142</v>
      </c>
    </row>
    <row r="10" spans="1:11" x14ac:dyDescent="0.25">
      <c r="A10" s="92" t="s">
        <v>69</v>
      </c>
      <c r="C10" s="92" t="s">
        <v>75</v>
      </c>
      <c r="D10" s="92" t="s">
        <v>143</v>
      </c>
      <c r="E10" s="92" t="s">
        <v>144</v>
      </c>
      <c r="G10" s="92" t="s">
        <v>145</v>
      </c>
      <c r="I10" s="92" t="s">
        <v>76</v>
      </c>
      <c r="J10" s="92" t="s">
        <v>146</v>
      </c>
    </row>
    <row r="11" spans="1:11" x14ac:dyDescent="0.25">
      <c r="C11" s="92" t="s">
        <v>77</v>
      </c>
      <c r="E11" s="92" t="s">
        <v>147</v>
      </c>
      <c r="G11" s="92" t="s">
        <v>148</v>
      </c>
    </row>
    <row r="12" spans="1:11" x14ac:dyDescent="0.25">
      <c r="A12" s="92" t="s">
        <v>69</v>
      </c>
      <c r="C12" s="92" t="s">
        <v>78</v>
      </c>
      <c r="D12" s="92" t="s">
        <v>149</v>
      </c>
      <c r="E12" s="92" t="s">
        <v>150</v>
      </c>
      <c r="G12" s="92" t="s">
        <v>79</v>
      </c>
      <c r="H12" s="92" t="s">
        <v>80</v>
      </c>
      <c r="I12" s="92" t="s">
        <v>81</v>
      </c>
      <c r="J12" s="92" t="s">
        <v>82</v>
      </c>
      <c r="K12" s="92" t="s">
        <v>83</v>
      </c>
    </row>
    <row r="13" spans="1:11" x14ac:dyDescent="0.25">
      <c r="A13" s="92" t="s">
        <v>69</v>
      </c>
      <c r="C13" s="92" t="s">
        <v>84</v>
      </c>
      <c r="F13" s="92" t="s">
        <v>85</v>
      </c>
      <c r="G13" s="92" t="s">
        <v>151</v>
      </c>
      <c r="H13" s="92" t="s">
        <v>152</v>
      </c>
      <c r="I13" s="92" t="s">
        <v>153</v>
      </c>
      <c r="J13" s="92" t="s">
        <v>154</v>
      </c>
      <c r="K13" s="92" t="s">
        <v>155</v>
      </c>
    </row>
    <row r="14" spans="1:11" x14ac:dyDescent="0.25">
      <c r="A14" s="92" t="s">
        <v>69</v>
      </c>
      <c r="C14" s="92" t="s">
        <v>86</v>
      </c>
      <c r="F14" s="92" t="s">
        <v>87</v>
      </c>
      <c r="G14" s="92" t="s">
        <v>156</v>
      </c>
      <c r="H14" s="92" t="s">
        <v>157</v>
      </c>
      <c r="I14" s="92" t="s">
        <v>158</v>
      </c>
      <c r="J14" s="92" t="s">
        <v>159</v>
      </c>
      <c r="K14" s="92" t="s">
        <v>160</v>
      </c>
    </row>
    <row r="15" spans="1:11" x14ac:dyDescent="0.25">
      <c r="A15" s="92" t="s">
        <v>69</v>
      </c>
      <c r="C15" s="92" t="s">
        <v>88</v>
      </c>
      <c r="G15" s="92" t="s">
        <v>161</v>
      </c>
    </row>
    <row r="16" spans="1:11" x14ac:dyDescent="0.25">
      <c r="C16" s="92" t="s">
        <v>89</v>
      </c>
      <c r="E16" s="92" t="s">
        <v>162</v>
      </c>
    </row>
    <row r="17" spans="1:8" x14ac:dyDescent="0.25">
      <c r="C17" s="92" t="s">
        <v>90</v>
      </c>
      <c r="F17" s="92" t="s">
        <v>163</v>
      </c>
      <c r="G17" s="92" t="s">
        <v>164</v>
      </c>
      <c r="H17" s="92" t="s">
        <v>91</v>
      </c>
    </row>
    <row r="18" spans="1:8" x14ac:dyDescent="0.25">
      <c r="C18" s="92" t="s">
        <v>92</v>
      </c>
      <c r="E18" s="92" t="s">
        <v>162</v>
      </c>
    </row>
    <row r="19" spans="1:8" x14ac:dyDescent="0.25">
      <c r="C19" s="92" t="s">
        <v>93</v>
      </c>
      <c r="F19" s="92" t="s">
        <v>165</v>
      </c>
      <c r="G19" s="92" t="s">
        <v>166</v>
      </c>
      <c r="H19" s="92" t="s">
        <v>91</v>
      </c>
    </row>
    <row r="21" spans="1:8" x14ac:dyDescent="0.25">
      <c r="A21" s="92" t="s">
        <v>94</v>
      </c>
      <c r="C21" s="92" t="s">
        <v>95</v>
      </c>
    </row>
    <row r="22" spans="1:8" x14ac:dyDescent="0.25">
      <c r="C22" s="92" t="s">
        <v>96</v>
      </c>
      <c r="G22" s="92" t="s">
        <v>167</v>
      </c>
    </row>
    <row r="26" spans="1:8" x14ac:dyDescent="0.25">
      <c r="C26" s="92" t="s">
        <v>97</v>
      </c>
      <c r="D26" s="92" t="s">
        <v>168</v>
      </c>
      <c r="E26" s="92" t="s">
        <v>169</v>
      </c>
      <c r="G26" s="92" t="s">
        <v>170</v>
      </c>
    </row>
    <row r="27" spans="1:8" x14ac:dyDescent="0.25">
      <c r="C27" s="92" t="s">
        <v>89</v>
      </c>
      <c r="D27" s="92" t="s">
        <v>171</v>
      </c>
      <c r="E27" s="92" t="s">
        <v>162</v>
      </c>
      <c r="G27" s="92" t="s">
        <v>172</v>
      </c>
    </row>
    <row r="28" spans="1:8" x14ac:dyDescent="0.25">
      <c r="C28" s="92" t="s">
        <v>90</v>
      </c>
      <c r="D28" s="92" t="s">
        <v>171</v>
      </c>
      <c r="G28" s="92" t="s">
        <v>173</v>
      </c>
      <c r="H28" s="92" t="s">
        <v>91</v>
      </c>
    </row>
    <row r="29" spans="1:8" x14ac:dyDescent="0.25">
      <c r="C29" s="92" t="s">
        <v>98</v>
      </c>
      <c r="D29" s="92" t="s">
        <v>174</v>
      </c>
      <c r="E29" s="92" t="s">
        <v>175</v>
      </c>
      <c r="G29" s="92" t="s">
        <v>176</v>
      </c>
    </row>
    <row r="30" spans="1:8" x14ac:dyDescent="0.25">
      <c r="C30" s="92" t="s">
        <v>11</v>
      </c>
      <c r="D30" s="92" t="s">
        <v>177</v>
      </c>
      <c r="E30" s="92" t="s">
        <v>178</v>
      </c>
      <c r="G30" s="92" t="s">
        <v>179</v>
      </c>
    </row>
    <row r="31" spans="1:8" x14ac:dyDescent="0.25">
      <c r="C31" s="92" t="s">
        <v>99</v>
      </c>
      <c r="E31" s="92" t="s">
        <v>180</v>
      </c>
      <c r="G31" s="92" t="s">
        <v>181</v>
      </c>
    </row>
    <row r="32" spans="1:8" x14ac:dyDescent="0.25">
      <c r="C32" s="92" t="s">
        <v>100</v>
      </c>
      <c r="D32" s="92" t="s">
        <v>171</v>
      </c>
      <c r="E32" s="92" t="s">
        <v>182</v>
      </c>
      <c r="G32" s="92" t="s">
        <v>183</v>
      </c>
    </row>
    <row r="33" spans="1:9" ht="330" x14ac:dyDescent="0.25">
      <c r="C33" s="93" t="s">
        <v>101</v>
      </c>
      <c r="D33" s="92" t="s">
        <v>184</v>
      </c>
      <c r="E33" s="92" t="s">
        <v>185</v>
      </c>
      <c r="G33" s="92" t="s">
        <v>186</v>
      </c>
    </row>
    <row r="34" spans="1:9" x14ac:dyDescent="0.25">
      <c r="C34" s="92" t="s">
        <v>102</v>
      </c>
      <c r="D34" s="92" t="s">
        <v>103</v>
      </c>
      <c r="G34" s="92" t="s">
        <v>187</v>
      </c>
      <c r="I34" s="92" t="s">
        <v>104</v>
      </c>
    </row>
    <row r="35" spans="1:9" x14ac:dyDescent="0.25">
      <c r="C35" s="92" t="s">
        <v>105</v>
      </c>
      <c r="G35" s="92" t="s">
        <v>188</v>
      </c>
      <c r="I35" s="92" t="s">
        <v>106</v>
      </c>
    </row>
    <row r="36" spans="1:9" x14ac:dyDescent="0.25">
      <c r="C36" s="92" t="s">
        <v>107</v>
      </c>
      <c r="G36" s="92" t="s">
        <v>189</v>
      </c>
      <c r="I36" s="92" t="s">
        <v>108</v>
      </c>
    </row>
    <row r="37" spans="1:9" x14ac:dyDescent="0.25">
      <c r="C37" s="92" t="s">
        <v>109</v>
      </c>
      <c r="G37" s="92" t="s">
        <v>190</v>
      </c>
      <c r="I37" s="92" t="s">
        <v>108</v>
      </c>
    </row>
    <row r="38" spans="1:9" x14ac:dyDescent="0.25">
      <c r="C38" s="92" t="s">
        <v>96</v>
      </c>
      <c r="D38" s="92" t="s">
        <v>171</v>
      </c>
      <c r="G38" s="92" t="s">
        <v>191</v>
      </c>
      <c r="I38" s="92" t="s">
        <v>108</v>
      </c>
    </row>
    <row r="40" spans="1:9" x14ac:dyDescent="0.25">
      <c r="C40" s="92" t="s">
        <v>110</v>
      </c>
      <c r="D40" s="92" t="s">
        <v>192</v>
      </c>
    </row>
    <row r="43" spans="1:9" x14ac:dyDescent="0.25">
      <c r="A43" s="92" t="s">
        <v>111</v>
      </c>
    </row>
    <row r="44" spans="1:9" x14ac:dyDescent="0.25">
      <c r="A44" s="92" t="s">
        <v>112</v>
      </c>
      <c r="D44" s="92" t="s">
        <v>193</v>
      </c>
    </row>
    <row r="45" spans="1:9" x14ac:dyDescent="0.25">
      <c r="A45" s="92" t="s">
        <v>113</v>
      </c>
      <c r="B45" s="92" t="s">
        <v>114</v>
      </c>
    </row>
    <row r="46" spans="1:9" x14ac:dyDescent="0.25">
      <c r="A46" s="92" t="s">
        <v>115</v>
      </c>
      <c r="B46" s="92" t="s">
        <v>114</v>
      </c>
    </row>
    <row r="47" spans="1:9" x14ac:dyDescent="0.25">
      <c r="A47" s="92" t="s">
        <v>116</v>
      </c>
      <c r="B47" s="92" t="s">
        <v>114</v>
      </c>
    </row>
    <row r="50" spans="1:1" x14ac:dyDescent="0.25">
      <c r="A50" s="92" t="s">
        <v>117</v>
      </c>
    </row>
    <row r="51" spans="1:1" x14ac:dyDescent="0.25">
      <c r="A51" s="92" t="s">
        <v>118</v>
      </c>
    </row>
    <row r="52" spans="1:1" x14ac:dyDescent="0.25">
      <c r="A52" s="92" t="s">
        <v>119</v>
      </c>
    </row>
    <row r="53" spans="1:1" x14ac:dyDescent="0.25">
      <c r="A53" s="92" t="s">
        <v>120</v>
      </c>
    </row>
    <row r="55" spans="1:1" x14ac:dyDescent="0.25">
      <c r="A55" s="92" t="s">
        <v>194</v>
      </c>
    </row>
    <row r="56" spans="1:1" x14ac:dyDescent="0.25">
      <c r="A56" s="92" t="s">
        <v>121</v>
      </c>
    </row>
    <row r="58" spans="1:1" x14ac:dyDescent="0.25">
      <c r="A58" s="92" t="s">
        <v>195</v>
      </c>
    </row>
    <row r="59" spans="1:1" x14ac:dyDescent="0.25">
      <c r="A59" s="92" t="s">
        <v>122</v>
      </c>
    </row>
    <row r="61" spans="1:1" x14ac:dyDescent="0.25">
      <c r="A61" s="92" t="s">
        <v>196</v>
      </c>
    </row>
    <row r="62" spans="1:1" x14ac:dyDescent="0.25">
      <c r="A62" s="92" t="s">
        <v>123</v>
      </c>
    </row>
    <row r="63" spans="1:1" x14ac:dyDescent="0.25">
      <c r="A63" s="92" t="s">
        <v>124</v>
      </c>
    </row>
    <row r="64" spans="1:1" x14ac:dyDescent="0.25">
      <c r="A64" s="92" t="s">
        <v>125</v>
      </c>
    </row>
    <row r="67" spans="1:1" x14ac:dyDescent="0.25">
      <c r="A67" s="92" t="s">
        <v>197</v>
      </c>
    </row>
    <row r="68" spans="1:1" x14ac:dyDescent="0.25">
      <c r="A68" s="92" t="s">
        <v>126</v>
      </c>
    </row>
    <row r="69" spans="1:1" x14ac:dyDescent="0.25">
      <c r="A69" s="92" t="s">
        <v>127</v>
      </c>
    </row>
    <row r="72" spans="1:1" x14ac:dyDescent="0.25">
      <c r="A72" s="92" t="s">
        <v>198</v>
      </c>
    </row>
    <row r="73" spans="1:1" x14ac:dyDescent="0.25">
      <c r="A73" s="92" t="s">
        <v>128</v>
      </c>
    </row>
    <row r="74" spans="1:1" x14ac:dyDescent="0.25">
      <c r="A74" s="92" t="s">
        <v>129</v>
      </c>
    </row>
    <row r="77" spans="1:1" x14ac:dyDescent="0.25">
      <c r="A77" s="92" t="s">
        <v>199</v>
      </c>
    </row>
    <row r="78" spans="1:1" x14ac:dyDescent="0.25">
      <c r="A78" s="92" t="s">
        <v>130</v>
      </c>
    </row>
    <row r="82" spans="1:1" x14ac:dyDescent="0.25">
      <c r="A82" s="92" t="s">
        <v>200</v>
      </c>
    </row>
    <row r="83" spans="1:1" x14ac:dyDescent="0.25">
      <c r="A83" s="92" t="s">
        <v>131</v>
      </c>
    </row>
    <row r="84" spans="1:1" x14ac:dyDescent="0.25">
      <c r="A84" s="9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1"/>
  <sheetViews>
    <sheetView workbookViewId="0"/>
  </sheetViews>
  <sheetFormatPr defaultRowHeight="15" x14ac:dyDescent="0.25"/>
  <sheetData>
    <row r="1" spans="1:62" x14ac:dyDescent="0.25">
      <c r="A1" s="92" t="s">
        <v>1284</v>
      </c>
      <c r="B1" s="92" t="s">
        <v>0</v>
      </c>
      <c r="C1" s="92" t="s">
        <v>0</v>
      </c>
      <c r="D1" s="92" t="s">
        <v>0</v>
      </c>
      <c r="L1" s="92" t="s">
        <v>40</v>
      </c>
      <c r="Q1" s="92" t="s">
        <v>12</v>
      </c>
      <c r="S1" s="92" t="s">
        <v>12</v>
      </c>
      <c r="T1" s="92" t="s">
        <v>12</v>
      </c>
      <c r="U1" s="92" t="s">
        <v>12</v>
      </c>
      <c r="V1" s="92" t="s">
        <v>12</v>
      </c>
      <c r="W1" s="92" t="s">
        <v>12</v>
      </c>
      <c r="X1" s="92" t="s">
        <v>12</v>
      </c>
      <c r="Y1" s="92" t="s">
        <v>12</v>
      </c>
      <c r="Z1" s="92" t="s">
        <v>12</v>
      </c>
      <c r="AA1" s="92" t="s">
        <v>12</v>
      </c>
      <c r="AB1" s="92" t="s">
        <v>12</v>
      </c>
      <c r="AC1" s="92" t="s">
        <v>12</v>
      </c>
      <c r="AD1" s="92" t="s">
        <v>12</v>
      </c>
      <c r="AE1" s="92" t="s">
        <v>12</v>
      </c>
      <c r="AF1" s="92" t="s">
        <v>12</v>
      </c>
      <c r="AG1" s="92" t="s">
        <v>12</v>
      </c>
      <c r="AH1" s="92" t="s">
        <v>12</v>
      </c>
      <c r="AI1" s="92" t="s">
        <v>12</v>
      </c>
      <c r="AJ1" s="92" t="s">
        <v>12</v>
      </c>
      <c r="AK1" s="92" t="s">
        <v>12</v>
      </c>
      <c r="AL1" s="92" t="s">
        <v>12</v>
      </c>
      <c r="AM1" s="92" t="s">
        <v>12</v>
      </c>
      <c r="AN1" s="92" t="s">
        <v>12</v>
      </c>
      <c r="AO1" s="92" t="s">
        <v>12</v>
      </c>
      <c r="AP1" s="92" t="s">
        <v>12</v>
      </c>
      <c r="AQ1" s="92" t="s">
        <v>12</v>
      </c>
      <c r="AR1" s="92" t="s">
        <v>12</v>
      </c>
      <c r="AZ1" s="92" t="s">
        <v>12</v>
      </c>
      <c r="BA1" s="92" t="s">
        <v>12</v>
      </c>
      <c r="BB1" s="92" t="s">
        <v>12</v>
      </c>
      <c r="BC1" s="92" t="s">
        <v>12</v>
      </c>
      <c r="BD1" s="92" t="s">
        <v>12</v>
      </c>
      <c r="BE1" s="92" t="s">
        <v>12</v>
      </c>
      <c r="BF1" s="92" t="s">
        <v>12</v>
      </c>
      <c r="BG1" s="92" t="s">
        <v>12</v>
      </c>
      <c r="BH1" s="92" t="s">
        <v>12</v>
      </c>
      <c r="BI1" s="92" t="s">
        <v>12</v>
      </c>
      <c r="BJ1" s="92" t="s">
        <v>12</v>
      </c>
    </row>
    <row r="2" spans="1:62" x14ac:dyDescent="0.25">
      <c r="A2" s="92" t="s">
        <v>0</v>
      </c>
    </row>
    <row r="3" spans="1:62" x14ac:dyDescent="0.25">
      <c r="A3" s="92" t="s">
        <v>0</v>
      </c>
    </row>
    <row r="4" spans="1:62" x14ac:dyDescent="0.25">
      <c r="A4" s="92" t="s">
        <v>0</v>
      </c>
      <c r="B4" s="92" t="s">
        <v>13</v>
      </c>
      <c r="C4" s="92" t="s">
        <v>202</v>
      </c>
    </row>
    <row r="5" spans="1:62" x14ac:dyDescent="0.25">
      <c r="A5" s="92" t="s">
        <v>0</v>
      </c>
      <c r="C5" s="92" t="s">
        <v>203</v>
      </c>
    </row>
    <row r="6" spans="1:62" x14ac:dyDescent="0.25">
      <c r="A6" s="92" t="s">
        <v>0</v>
      </c>
    </row>
    <row r="7" spans="1:62" x14ac:dyDescent="0.25">
      <c r="A7" s="92" t="s">
        <v>0</v>
      </c>
      <c r="B7" s="92" t="s">
        <v>1</v>
      </c>
      <c r="C7" s="92" t="s">
        <v>204</v>
      </c>
    </row>
    <row r="8" spans="1:62" x14ac:dyDescent="0.25">
      <c r="A8" s="92" t="s">
        <v>0</v>
      </c>
    </row>
    <row r="9" spans="1:62" x14ac:dyDescent="0.25">
      <c r="A9" s="92" t="s">
        <v>0</v>
      </c>
      <c r="B9" s="92" t="s">
        <v>30</v>
      </c>
      <c r="C9" s="92" t="s">
        <v>1285</v>
      </c>
    </row>
    <row r="10" spans="1:62" x14ac:dyDescent="0.25">
      <c r="A10" s="92" t="s">
        <v>0</v>
      </c>
      <c r="B10" s="92" t="s">
        <v>2</v>
      </c>
      <c r="C10" s="92" t="s">
        <v>205</v>
      </c>
    </row>
    <row r="11" spans="1:62" x14ac:dyDescent="0.25">
      <c r="A11" s="92" t="s">
        <v>0</v>
      </c>
      <c r="B11" s="92" t="s">
        <v>17</v>
      </c>
      <c r="C11" s="92" t="s">
        <v>56</v>
      </c>
    </row>
    <row r="12" spans="1:62" x14ac:dyDescent="0.25">
      <c r="A12" s="92" t="s">
        <v>0</v>
      </c>
      <c r="B12" s="92" t="s">
        <v>41</v>
      </c>
      <c r="C12" s="92" t="s">
        <v>42</v>
      </c>
    </row>
    <row r="13" spans="1:62" x14ac:dyDescent="0.25">
      <c r="A13" s="92" t="s">
        <v>0</v>
      </c>
    </row>
    <row r="14" spans="1:62" x14ac:dyDescent="0.25">
      <c r="E14" s="92" t="s">
        <v>1286</v>
      </c>
    </row>
    <row r="15" spans="1:62" x14ac:dyDescent="0.25">
      <c r="E15" s="92" t="s">
        <v>206</v>
      </c>
    </row>
    <row r="16" spans="1:62" x14ac:dyDescent="0.25">
      <c r="E16" s="92" t="s">
        <v>207</v>
      </c>
    </row>
    <row r="17" spans="1:62" x14ac:dyDescent="0.25">
      <c r="E17" s="92" t="s">
        <v>58</v>
      </c>
    </row>
    <row r="18" spans="1:62" x14ac:dyDescent="0.25">
      <c r="E18" s="92" t="s">
        <v>59</v>
      </c>
    </row>
    <row r="20" spans="1:62" x14ac:dyDescent="0.25">
      <c r="A20" s="92" t="s">
        <v>12</v>
      </c>
      <c r="E20" s="92" t="s">
        <v>30</v>
      </c>
      <c r="F20" s="92" t="s">
        <v>18</v>
      </c>
      <c r="G20" s="92" t="s">
        <v>19</v>
      </c>
      <c r="H20" s="92" t="s">
        <v>20</v>
      </c>
      <c r="I20" s="92" t="s">
        <v>21</v>
      </c>
      <c r="J20" s="92" t="s">
        <v>22</v>
      </c>
      <c r="K20" s="92" t="s">
        <v>23</v>
      </c>
      <c r="L20" s="92" t="s">
        <v>24</v>
      </c>
      <c r="M20" s="92" t="s">
        <v>25</v>
      </c>
      <c r="N20" s="92" t="s">
        <v>26</v>
      </c>
      <c r="O20" s="92" t="s">
        <v>27</v>
      </c>
      <c r="P20" s="92" t="s">
        <v>28</v>
      </c>
      <c r="Q20" s="92" t="s">
        <v>29</v>
      </c>
    </row>
    <row r="21" spans="1:62" x14ac:dyDescent="0.25">
      <c r="C21" s="92" t="s">
        <v>31</v>
      </c>
      <c r="D21" s="92" t="s">
        <v>3</v>
      </c>
      <c r="E21" s="92" t="s">
        <v>4</v>
      </c>
      <c r="F21" s="92" t="s">
        <v>5</v>
      </c>
      <c r="G21" s="92" t="s">
        <v>6</v>
      </c>
      <c r="H21" s="92" t="s">
        <v>7</v>
      </c>
      <c r="I21" s="92" t="s">
        <v>16</v>
      </c>
      <c r="J21" s="92" t="s">
        <v>8</v>
      </c>
      <c r="K21" s="92" t="s">
        <v>43</v>
      </c>
      <c r="L21" s="92" t="s">
        <v>44</v>
      </c>
      <c r="M21" s="92" t="s">
        <v>10</v>
      </c>
      <c r="N21" s="92" t="s">
        <v>57</v>
      </c>
      <c r="O21" s="92" t="s">
        <v>60</v>
      </c>
      <c r="P21" s="92" t="s">
        <v>61</v>
      </c>
      <c r="Q21" s="92" t="s">
        <v>11</v>
      </c>
      <c r="R21" s="92" t="s">
        <v>11</v>
      </c>
      <c r="U21" s="92" t="s">
        <v>11</v>
      </c>
      <c r="X21" s="92" t="s">
        <v>9</v>
      </c>
      <c r="Y21" s="92" t="s">
        <v>15</v>
      </c>
      <c r="Z21" s="92" t="s">
        <v>14</v>
      </c>
      <c r="AA21" s="92" t="s">
        <v>208</v>
      </c>
      <c r="AE21" s="92" t="s">
        <v>32</v>
      </c>
      <c r="AF21" s="92" t="s">
        <v>33</v>
      </c>
      <c r="AG21" s="92" t="s">
        <v>35</v>
      </c>
      <c r="AH21" s="92" t="s">
        <v>34</v>
      </c>
      <c r="AI21" s="92" t="s">
        <v>36</v>
      </c>
      <c r="AJ21" s="92" t="s">
        <v>37</v>
      </c>
      <c r="AK21" s="92" t="s">
        <v>38</v>
      </c>
      <c r="AL21" s="92" t="s">
        <v>39</v>
      </c>
      <c r="AZ21" s="92" t="s">
        <v>21</v>
      </c>
      <c r="BA21" s="92" t="s">
        <v>45</v>
      </c>
      <c r="BB21" s="92" t="s">
        <v>46</v>
      </c>
      <c r="BC21" s="92" t="s">
        <v>47</v>
      </c>
      <c r="BD21" s="92" t="s">
        <v>48</v>
      </c>
      <c r="BE21" s="92" t="s">
        <v>49</v>
      </c>
      <c r="BF21" s="92" t="s">
        <v>50</v>
      </c>
      <c r="BG21" s="92" t="s">
        <v>51</v>
      </c>
      <c r="BH21" s="92" t="s">
        <v>52</v>
      </c>
      <c r="BI21" s="92" t="s">
        <v>53</v>
      </c>
      <c r="BJ21" s="92" t="s">
        <v>54</v>
      </c>
    </row>
    <row r="22" spans="1:62" x14ac:dyDescent="0.25">
      <c r="C22" s="92" t="s">
        <v>209</v>
      </c>
      <c r="D22" s="92" t="s">
        <v>210</v>
      </c>
      <c r="E22" s="92" t="s">
        <v>211</v>
      </c>
      <c r="F22" s="92" t="s">
        <v>212</v>
      </c>
      <c r="G22" s="92" t="s">
        <v>213</v>
      </c>
      <c r="H22" s="92" t="s">
        <v>214</v>
      </c>
      <c r="I22" s="92" t="s">
        <v>215</v>
      </c>
      <c r="J22" s="92" t="s">
        <v>216</v>
      </c>
      <c r="K22" s="92" t="s">
        <v>217</v>
      </c>
      <c r="L22" s="92" t="s">
        <v>218</v>
      </c>
      <c r="M22" s="92" t="s">
        <v>219</v>
      </c>
      <c r="N22" s="92" t="s">
        <v>220</v>
      </c>
      <c r="O22" s="92" t="s">
        <v>221</v>
      </c>
      <c r="P22" s="92" t="s">
        <v>222</v>
      </c>
      <c r="R22" s="92" t="s">
        <v>223</v>
      </c>
      <c r="Y22" s="92" t="s">
        <v>224</v>
      </c>
      <c r="Z22" s="92" t="s">
        <v>974</v>
      </c>
      <c r="AC22" s="92" t="s">
        <v>226</v>
      </c>
      <c r="AD22" s="92" t="s">
        <v>227</v>
      </c>
      <c r="AN22" s="92" t="s">
        <v>998</v>
      </c>
      <c r="AO22" s="92" t="s">
        <v>1022</v>
      </c>
      <c r="AP22" s="92" t="s">
        <v>1046</v>
      </c>
      <c r="AQ22" s="92" t="s">
        <v>1070</v>
      </c>
      <c r="AR22" s="92" t="s">
        <v>232</v>
      </c>
      <c r="AZ22" s="92" t="s">
        <v>1094</v>
      </c>
      <c r="BA22" s="92" t="s">
        <v>1118</v>
      </c>
      <c r="BB22" s="92" t="s">
        <v>1142</v>
      </c>
      <c r="BC22" s="92" t="s">
        <v>236</v>
      </c>
      <c r="BD22" s="92" t="s">
        <v>1166</v>
      </c>
      <c r="BE22" s="92" t="s">
        <v>238</v>
      </c>
      <c r="BF22" s="92" t="s">
        <v>239</v>
      </c>
      <c r="BG22" s="92" t="s">
        <v>240</v>
      </c>
      <c r="BH22" s="92" t="s">
        <v>1190</v>
      </c>
      <c r="BI22" s="92" t="s">
        <v>242</v>
      </c>
      <c r="BJ22" s="92" t="s">
        <v>1214</v>
      </c>
    </row>
    <row r="23" spans="1:62" x14ac:dyDescent="0.25">
      <c r="D23" s="92" t="s">
        <v>244</v>
      </c>
      <c r="E23" s="92" t="s">
        <v>245</v>
      </c>
      <c r="R23" s="92" t="s">
        <v>55</v>
      </c>
      <c r="AF23" s="92" t="s">
        <v>246</v>
      </c>
      <c r="AM23" s="92" t="s">
        <v>247</v>
      </c>
      <c r="AQ23" s="92" t="s">
        <v>248</v>
      </c>
      <c r="AR23" s="92" t="s">
        <v>249</v>
      </c>
      <c r="AZ23" s="92" t="s">
        <v>250</v>
      </c>
      <c r="BB23" s="92" t="s">
        <v>251</v>
      </c>
      <c r="BE23" s="92" t="s">
        <v>252</v>
      </c>
      <c r="BF23" s="92" t="s">
        <v>253</v>
      </c>
      <c r="BG23" s="92" t="s">
        <v>254</v>
      </c>
      <c r="BI23" s="92" t="s">
        <v>255</v>
      </c>
    </row>
    <row r="24" spans="1:62" x14ac:dyDescent="0.25">
      <c r="A24" s="92" t="s">
        <v>257</v>
      </c>
      <c r="C24" s="92" t="s">
        <v>261</v>
      </c>
      <c r="D24" s="92" t="s">
        <v>951</v>
      </c>
      <c r="E24" s="92" t="s">
        <v>262</v>
      </c>
      <c r="F24" s="92" t="s">
        <v>263</v>
      </c>
      <c r="G24" s="92" t="s">
        <v>264</v>
      </c>
      <c r="H24" s="92" t="s">
        <v>265</v>
      </c>
      <c r="I24" s="92" t="s">
        <v>266</v>
      </c>
      <c r="J24" s="92" t="s">
        <v>267</v>
      </c>
      <c r="K24" s="92" t="s">
        <v>268</v>
      </c>
      <c r="L24" s="92" t="s">
        <v>269</v>
      </c>
      <c r="M24" s="92" t="s">
        <v>270</v>
      </c>
      <c r="N24" s="92" t="s">
        <v>271</v>
      </c>
      <c r="O24" s="92" t="s">
        <v>272</v>
      </c>
      <c r="P24" s="92" t="s">
        <v>273</v>
      </c>
      <c r="R24" s="92" t="s">
        <v>274</v>
      </c>
      <c r="Y24" s="92" t="s">
        <v>275</v>
      </c>
      <c r="Z24" s="92" t="s">
        <v>975</v>
      </c>
      <c r="AC24" s="92" t="s">
        <v>226</v>
      </c>
      <c r="AD24" s="92" t="s">
        <v>276</v>
      </c>
      <c r="AN24" s="92" t="s">
        <v>999</v>
      </c>
      <c r="AO24" s="92" t="s">
        <v>1023</v>
      </c>
      <c r="AP24" s="92" t="s">
        <v>1047</v>
      </c>
      <c r="AQ24" s="92" t="s">
        <v>1071</v>
      </c>
      <c r="AR24" s="92" t="s">
        <v>277</v>
      </c>
      <c r="AZ24" s="92" t="s">
        <v>1095</v>
      </c>
      <c r="BA24" s="92" t="s">
        <v>1119</v>
      </c>
      <c r="BB24" s="92" t="s">
        <v>1143</v>
      </c>
      <c r="BC24" s="92" t="s">
        <v>278</v>
      </c>
      <c r="BD24" s="92" t="s">
        <v>1167</v>
      </c>
      <c r="BE24" s="92" t="s">
        <v>1238</v>
      </c>
      <c r="BF24" s="92" t="s">
        <v>1261</v>
      </c>
      <c r="BG24" s="92" t="s">
        <v>240</v>
      </c>
      <c r="BH24" s="92" t="s">
        <v>1191</v>
      </c>
      <c r="BI24" s="92" t="s">
        <v>242</v>
      </c>
      <c r="BJ24" s="92" t="s">
        <v>1215</v>
      </c>
    </row>
    <row r="25" spans="1:62" x14ac:dyDescent="0.25">
      <c r="A25" s="92" t="s">
        <v>257</v>
      </c>
      <c r="D25" s="92" t="s">
        <v>279</v>
      </c>
      <c r="E25" s="92" t="s">
        <v>280</v>
      </c>
      <c r="R25" s="92" t="s">
        <v>55</v>
      </c>
      <c r="AF25" s="92" t="s">
        <v>281</v>
      </c>
      <c r="AM25" s="92" t="s">
        <v>282</v>
      </c>
      <c r="AQ25" s="92" t="s">
        <v>283</v>
      </c>
      <c r="AR25" s="92" t="s">
        <v>284</v>
      </c>
      <c r="AZ25" s="92" t="s">
        <v>285</v>
      </c>
      <c r="BB25" s="92" t="s">
        <v>286</v>
      </c>
      <c r="BE25" s="92" t="s">
        <v>287</v>
      </c>
      <c r="BF25" s="92" t="s">
        <v>288</v>
      </c>
      <c r="BG25" s="92" t="s">
        <v>289</v>
      </c>
      <c r="BI25" s="92" t="s">
        <v>290</v>
      </c>
    </row>
    <row r="26" spans="1:62" x14ac:dyDescent="0.25">
      <c r="A26" s="92" t="s">
        <v>257</v>
      </c>
      <c r="C26" s="92" t="s">
        <v>291</v>
      </c>
      <c r="D26" s="92" t="s">
        <v>952</v>
      </c>
      <c r="E26" s="92" t="s">
        <v>292</v>
      </c>
      <c r="F26" s="92" t="s">
        <v>293</v>
      </c>
      <c r="G26" s="92" t="s">
        <v>294</v>
      </c>
      <c r="H26" s="92" t="s">
        <v>295</v>
      </c>
      <c r="I26" s="92" t="s">
        <v>296</v>
      </c>
      <c r="J26" s="92" t="s">
        <v>297</v>
      </c>
      <c r="K26" s="92" t="s">
        <v>298</v>
      </c>
      <c r="L26" s="92" t="s">
        <v>299</v>
      </c>
      <c r="M26" s="92" t="s">
        <v>300</v>
      </c>
      <c r="N26" s="92" t="s">
        <v>301</v>
      </c>
      <c r="O26" s="92" t="s">
        <v>302</v>
      </c>
      <c r="P26" s="92" t="s">
        <v>303</v>
      </c>
      <c r="R26" s="92" t="s">
        <v>304</v>
      </c>
      <c r="Y26" s="92" t="s">
        <v>305</v>
      </c>
      <c r="Z26" s="92" t="s">
        <v>976</v>
      </c>
      <c r="AC26" s="92" t="s">
        <v>226</v>
      </c>
      <c r="AD26" s="92" t="s">
        <v>306</v>
      </c>
      <c r="AN26" s="92" t="s">
        <v>1000</v>
      </c>
      <c r="AO26" s="92" t="s">
        <v>1024</v>
      </c>
      <c r="AP26" s="92" t="s">
        <v>1048</v>
      </c>
      <c r="AQ26" s="92" t="s">
        <v>1072</v>
      </c>
      <c r="AR26" s="92" t="s">
        <v>307</v>
      </c>
      <c r="AZ26" s="92" t="s">
        <v>1096</v>
      </c>
      <c r="BA26" s="92" t="s">
        <v>1120</v>
      </c>
      <c r="BB26" s="92" t="s">
        <v>1144</v>
      </c>
      <c r="BC26" s="92" t="s">
        <v>308</v>
      </c>
      <c r="BD26" s="92" t="s">
        <v>1168</v>
      </c>
      <c r="BE26" s="92" t="s">
        <v>1239</v>
      </c>
      <c r="BF26" s="92" t="s">
        <v>1262</v>
      </c>
      <c r="BG26" s="92" t="s">
        <v>240</v>
      </c>
      <c r="BH26" s="92" t="s">
        <v>1192</v>
      </c>
      <c r="BI26" s="92" t="s">
        <v>242</v>
      </c>
      <c r="BJ26" s="92" t="s">
        <v>1216</v>
      </c>
    </row>
    <row r="27" spans="1:62" x14ac:dyDescent="0.25">
      <c r="A27" s="92" t="s">
        <v>257</v>
      </c>
      <c r="D27" s="92" t="s">
        <v>309</v>
      </c>
      <c r="E27" s="92" t="s">
        <v>310</v>
      </c>
      <c r="R27" s="92" t="s">
        <v>55</v>
      </c>
      <c r="AF27" s="92" t="s">
        <v>311</v>
      </c>
      <c r="AM27" s="92" t="s">
        <v>312</v>
      </c>
      <c r="AQ27" s="92" t="s">
        <v>313</v>
      </c>
      <c r="AR27" s="92" t="s">
        <v>314</v>
      </c>
      <c r="AZ27" s="92" t="s">
        <v>315</v>
      </c>
      <c r="BB27" s="92" t="s">
        <v>316</v>
      </c>
      <c r="BE27" s="92" t="s">
        <v>317</v>
      </c>
      <c r="BF27" s="92" t="s">
        <v>318</v>
      </c>
      <c r="BG27" s="92" t="s">
        <v>319</v>
      </c>
      <c r="BI27" s="92" t="s">
        <v>320</v>
      </c>
    </row>
    <row r="28" spans="1:62" x14ac:dyDescent="0.25">
      <c r="A28" s="92" t="s">
        <v>257</v>
      </c>
      <c r="C28" s="92" t="s">
        <v>321</v>
      </c>
      <c r="D28" s="92" t="s">
        <v>953</v>
      </c>
      <c r="E28" s="92" t="s">
        <v>322</v>
      </c>
      <c r="F28" s="92" t="s">
        <v>323</v>
      </c>
      <c r="G28" s="92" t="s">
        <v>324</v>
      </c>
      <c r="H28" s="92" t="s">
        <v>325</v>
      </c>
      <c r="I28" s="92" t="s">
        <v>326</v>
      </c>
      <c r="J28" s="92" t="s">
        <v>327</v>
      </c>
      <c r="K28" s="92" t="s">
        <v>328</v>
      </c>
      <c r="L28" s="92" t="s">
        <v>329</v>
      </c>
      <c r="M28" s="92" t="s">
        <v>330</v>
      </c>
      <c r="N28" s="92" t="s">
        <v>331</v>
      </c>
      <c r="O28" s="92" t="s">
        <v>332</v>
      </c>
      <c r="P28" s="92" t="s">
        <v>333</v>
      </c>
      <c r="R28" s="92" t="s">
        <v>334</v>
      </c>
      <c r="Y28" s="92" t="s">
        <v>335</v>
      </c>
      <c r="Z28" s="92" t="s">
        <v>977</v>
      </c>
      <c r="AC28" s="92" t="s">
        <v>226</v>
      </c>
      <c r="AD28" s="92" t="s">
        <v>336</v>
      </c>
      <c r="AN28" s="92" t="s">
        <v>1001</v>
      </c>
      <c r="AO28" s="92" t="s">
        <v>1025</v>
      </c>
      <c r="AP28" s="92" t="s">
        <v>1049</v>
      </c>
      <c r="AQ28" s="92" t="s">
        <v>1073</v>
      </c>
      <c r="AR28" s="92" t="s">
        <v>337</v>
      </c>
      <c r="AZ28" s="92" t="s">
        <v>1097</v>
      </c>
      <c r="BA28" s="92" t="s">
        <v>1121</v>
      </c>
      <c r="BB28" s="92" t="s">
        <v>1145</v>
      </c>
      <c r="BC28" s="92" t="s">
        <v>338</v>
      </c>
      <c r="BD28" s="92" t="s">
        <v>1169</v>
      </c>
      <c r="BE28" s="92" t="s">
        <v>1240</v>
      </c>
      <c r="BF28" s="92" t="s">
        <v>1263</v>
      </c>
      <c r="BG28" s="92" t="s">
        <v>240</v>
      </c>
      <c r="BH28" s="92" t="s">
        <v>1193</v>
      </c>
      <c r="BI28" s="92" t="s">
        <v>242</v>
      </c>
      <c r="BJ28" s="92" t="s">
        <v>1217</v>
      </c>
    </row>
    <row r="29" spans="1:62" x14ac:dyDescent="0.25">
      <c r="A29" s="92" t="s">
        <v>257</v>
      </c>
      <c r="D29" s="92" t="s">
        <v>339</v>
      </c>
      <c r="E29" s="92" t="s">
        <v>340</v>
      </c>
      <c r="R29" s="92" t="s">
        <v>55</v>
      </c>
      <c r="AF29" s="92" t="s">
        <v>341</v>
      </c>
      <c r="AM29" s="92" t="s">
        <v>342</v>
      </c>
      <c r="AQ29" s="92" t="s">
        <v>343</v>
      </c>
      <c r="AR29" s="92" t="s">
        <v>344</v>
      </c>
      <c r="AZ29" s="92" t="s">
        <v>345</v>
      </c>
      <c r="BB29" s="92" t="s">
        <v>346</v>
      </c>
      <c r="BE29" s="92" t="s">
        <v>347</v>
      </c>
      <c r="BF29" s="92" t="s">
        <v>348</v>
      </c>
      <c r="BG29" s="92" t="s">
        <v>349</v>
      </c>
      <c r="BI29" s="92" t="s">
        <v>350</v>
      </c>
    </row>
    <row r="30" spans="1:62" x14ac:dyDescent="0.25">
      <c r="A30" s="92" t="s">
        <v>257</v>
      </c>
      <c r="C30" s="92" t="s">
        <v>351</v>
      </c>
      <c r="D30" s="92" t="s">
        <v>954</v>
      </c>
      <c r="E30" s="92" t="s">
        <v>352</v>
      </c>
      <c r="F30" s="92" t="s">
        <v>353</v>
      </c>
      <c r="G30" s="92" t="s">
        <v>354</v>
      </c>
      <c r="H30" s="92" t="s">
        <v>355</v>
      </c>
      <c r="I30" s="92" t="s">
        <v>356</v>
      </c>
      <c r="J30" s="92" t="s">
        <v>357</v>
      </c>
      <c r="K30" s="92" t="s">
        <v>358</v>
      </c>
      <c r="L30" s="92" t="s">
        <v>359</v>
      </c>
      <c r="M30" s="92" t="s">
        <v>360</v>
      </c>
      <c r="N30" s="92" t="s">
        <v>361</v>
      </c>
      <c r="O30" s="92" t="s">
        <v>362</v>
      </c>
      <c r="P30" s="92" t="s">
        <v>363</v>
      </c>
      <c r="R30" s="92" t="s">
        <v>364</v>
      </c>
      <c r="Y30" s="92" t="s">
        <v>365</v>
      </c>
      <c r="Z30" s="92" t="s">
        <v>978</v>
      </c>
      <c r="AC30" s="92" t="s">
        <v>226</v>
      </c>
      <c r="AD30" s="92" t="s">
        <v>366</v>
      </c>
      <c r="AN30" s="92" t="s">
        <v>1002</v>
      </c>
      <c r="AO30" s="92" t="s">
        <v>1026</v>
      </c>
      <c r="AP30" s="92" t="s">
        <v>1050</v>
      </c>
      <c r="AQ30" s="92" t="s">
        <v>1074</v>
      </c>
      <c r="AR30" s="92" t="s">
        <v>367</v>
      </c>
      <c r="AZ30" s="92" t="s">
        <v>1098</v>
      </c>
      <c r="BA30" s="92" t="s">
        <v>1122</v>
      </c>
      <c r="BB30" s="92" t="s">
        <v>1146</v>
      </c>
      <c r="BC30" s="92" t="s">
        <v>368</v>
      </c>
      <c r="BD30" s="92" t="s">
        <v>1170</v>
      </c>
      <c r="BE30" s="92" t="s">
        <v>1241</v>
      </c>
      <c r="BF30" s="92" t="s">
        <v>1264</v>
      </c>
      <c r="BG30" s="92" t="s">
        <v>240</v>
      </c>
      <c r="BH30" s="92" t="s">
        <v>1194</v>
      </c>
      <c r="BI30" s="92" t="s">
        <v>242</v>
      </c>
      <c r="BJ30" s="92" t="s">
        <v>1218</v>
      </c>
    </row>
    <row r="31" spans="1:62" x14ac:dyDescent="0.25">
      <c r="A31" s="92" t="s">
        <v>257</v>
      </c>
      <c r="D31" s="92" t="s">
        <v>369</v>
      </c>
      <c r="E31" s="92" t="s">
        <v>370</v>
      </c>
      <c r="R31" s="92" t="s">
        <v>55</v>
      </c>
      <c r="AF31" s="92" t="s">
        <v>371</v>
      </c>
      <c r="AM31" s="92" t="s">
        <v>372</v>
      </c>
      <c r="AQ31" s="92" t="s">
        <v>373</v>
      </c>
      <c r="AR31" s="92" t="s">
        <v>374</v>
      </c>
      <c r="AZ31" s="92" t="s">
        <v>375</v>
      </c>
      <c r="BB31" s="92" t="s">
        <v>376</v>
      </c>
      <c r="BE31" s="92" t="s">
        <v>377</v>
      </c>
      <c r="BF31" s="92" t="s">
        <v>378</v>
      </c>
      <c r="BG31" s="92" t="s">
        <v>379</v>
      </c>
      <c r="BI31" s="92" t="s">
        <v>380</v>
      </c>
    </row>
    <row r="32" spans="1:62" x14ac:dyDescent="0.25">
      <c r="A32" s="92" t="s">
        <v>257</v>
      </c>
      <c r="C32" s="92" t="s">
        <v>381</v>
      </c>
      <c r="D32" s="92" t="s">
        <v>955</v>
      </c>
      <c r="E32" s="92" t="s">
        <v>382</v>
      </c>
      <c r="F32" s="92" t="s">
        <v>383</v>
      </c>
      <c r="G32" s="92" t="s">
        <v>384</v>
      </c>
      <c r="H32" s="92" t="s">
        <v>385</v>
      </c>
      <c r="I32" s="92" t="s">
        <v>386</v>
      </c>
      <c r="J32" s="92" t="s">
        <v>387</v>
      </c>
      <c r="K32" s="92" t="s">
        <v>388</v>
      </c>
      <c r="L32" s="92" t="s">
        <v>389</v>
      </c>
      <c r="M32" s="92" t="s">
        <v>390</v>
      </c>
      <c r="N32" s="92" t="s">
        <v>391</v>
      </c>
      <c r="O32" s="92" t="s">
        <v>392</v>
      </c>
      <c r="P32" s="92" t="s">
        <v>393</v>
      </c>
      <c r="R32" s="92" t="s">
        <v>394</v>
      </c>
      <c r="Y32" s="92" t="s">
        <v>395</v>
      </c>
      <c r="Z32" s="92" t="s">
        <v>979</v>
      </c>
      <c r="AC32" s="92" t="s">
        <v>226</v>
      </c>
      <c r="AD32" s="92" t="s">
        <v>396</v>
      </c>
      <c r="AN32" s="92" t="s">
        <v>1003</v>
      </c>
      <c r="AO32" s="92" t="s">
        <v>1027</v>
      </c>
      <c r="AP32" s="92" t="s">
        <v>1051</v>
      </c>
      <c r="AQ32" s="92" t="s">
        <v>1075</v>
      </c>
      <c r="AR32" s="92" t="s">
        <v>397</v>
      </c>
      <c r="AZ32" s="92" t="s">
        <v>1099</v>
      </c>
      <c r="BA32" s="92" t="s">
        <v>1123</v>
      </c>
      <c r="BB32" s="92" t="s">
        <v>1147</v>
      </c>
      <c r="BC32" s="92" t="s">
        <v>398</v>
      </c>
      <c r="BD32" s="92" t="s">
        <v>1171</v>
      </c>
      <c r="BE32" s="92" t="s">
        <v>1242</v>
      </c>
      <c r="BF32" s="92" t="s">
        <v>1265</v>
      </c>
      <c r="BG32" s="92" t="s">
        <v>240</v>
      </c>
      <c r="BH32" s="92" t="s">
        <v>1195</v>
      </c>
      <c r="BI32" s="92" t="s">
        <v>242</v>
      </c>
      <c r="BJ32" s="92" t="s">
        <v>1219</v>
      </c>
    </row>
    <row r="33" spans="1:62" x14ac:dyDescent="0.25">
      <c r="A33" s="92" t="s">
        <v>257</v>
      </c>
      <c r="D33" s="92" t="s">
        <v>399</v>
      </c>
      <c r="E33" s="92" t="s">
        <v>400</v>
      </c>
      <c r="R33" s="92" t="s">
        <v>55</v>
      </c>
      <c r="AF33" s="92" t="s">
        <v>401</v>
      </c>
      <c r="AM33" s="92" t="s">
        <v>402</v>
      </c>
      <c r="AQ33" s="92" t="s">
        <v>403</v>
      </c>
      <c r="AR33" s="92" t="s">
        <v>404</v>
      </c>
      <c r="AZ33" s="92" t="s">
        <v>405</v>
      </c>
      <c r="BB33" s="92" t="s">
        <v>406</v>
      </c>
      <c r="BE33" s="92" t="s">
        <v>407</v>
      </c>
      <c r="BF33" s="92" t="s">
        <v>408</v>
      </c>
      <c r="BG33" s="92" t="s">
        <v>409</v>
      </c>
      <c r="BI33" s="92" t="s">
        <v>410</v>
      </c>
    </row>
    <row r="34" spans="1:62" x14ac:dyDescent="0.25">
      <c r="A34" s="92" t="s">
        <v>257</v>
      </c>
      <c r="C34" s="92" t="s">
        <v>411</v>
      </c>
      <c r="D34" s="92" t="s">
        <v>956</v>
      </c>
      <c r="E34" s="92" t="s">
        <v>412</v>
      </c>
      <c r="F34" s="92" t="s">
        <v>413</v>
      </c>
      <c r="G34" s="92" t="s">
        <v>414</v>
      </c>
      <c r="H34" s="92" t="s">
        <v>415</v>
      </c>
      <c r="I34" s="92" t="s">
        <v>416</v>
      </c>
      <c r="J34" s="92" t="s">
        <v>417</v>
      </c>
      <c r="K34" s="92" t="s">
        <v>418</v>
      </c>
      <c r="L34" s="92" t="s">
        <v>419</v>
      </c>
      <c r="M34" s="92" t="s">
        <v>420</v>
      </c>
      <c r="N34" s="92" t="s">
        <v>421</v>
      </c>
      <c r="O34" s="92" t="s">
        <v>422</v>
      </c>
      <c r="P34" s="92" t="s">
        <v>423</v>
      </c>
      <c r="R34" s="92" t="s">
        <v>424</v>
      </c>
      <c r="Y34" s="92" t="s">
        <v>425</v>
      </c>
      <c r="Z34" s="92" t="s">
        <v>980</v>
      </c>
      <c r="AC34" s="92" t="s">
        <v>226</v>
      </c>
      <c r="AD34" s="92" t="s">
        <v>426</v>
      </c>
      <c r="AN34" s="92" t="s">
        <v>1004</v>
      </c>
      <c r="AO34" s="92" t="s">
        <v>1028</v>
      </c>
      <c r="AP34" s="92" t="s">
        <v>1052</v>
      </c>
      <c r="AQ34" s="92" t="s">
        <v>1076</v>
      </c>
      <c r="AR34" s="92" t="s">
        <v>427</v>
      </c>
      <c r="AZ34" s="92" t="s">
        <v>1100</v>
      </c>
      <c r="BA34" s="92" t="s">
        <v>1124</v>
      </c>
      <c r="BB34" s="92" t="s">
        <v>1148</v>
      </c>
      <c r="BC34" s="92" t="s">
        <v>428</v>
      </c>
      <c r="BD34" s="92" t="s">
        <v>1172</v>
      </c>
      <c r="BE34" s="92" t="s">
        <v>1243</v>
      </c>
      <c r="BF34" s="92" t="s">
        <v>1266</v>
      </c>
      <c r="BG34" s="92" t="s">
        <v>240</v>
      </c>
      <c r="BH34" s="92" t="s">
        <v>1196</v>
      </c>
      <c r="BI34" s="92" t="s">
        <v>242</v>
      </c>
      <c r="BJ34" s="92" t="s">
        <v>1220</v>
      </c>
    </row>
    <row r="35" spans="1:62" x14ac:dyDescent="0.25">
      <c r="A35" s="92" t="s">
        <v>257</v>
      </c>
      <c r="D35" s="92" t="s">
        <v>429</v>
      </c>
      <c r="E35" s="92" t="s">
        <v>430</v>
      </c>
      <c r="R35" s="92" t="s">
        <v>55</v>
      </c>
      <c r="AF35" s="92" t="s">
        <v>431</v>
      </c>
      <c r="AM35" s="92" t="s">
        <v>432</v>
      </c>
      <c r="AQ35" s="92" t="s">
        <v>433</v>
      </c>
      <c r="AR35" s="92" t="s">
        <v>434</v>
      </c>
      <c r="AZ35" s="92" t="s">
        <v>435</v>
      </c>
      <c r="BB35" s="92" t="s">
        <v>436</v>
      </c>
      <c r="BE35" s="92" t="s">
        <v>437</v>
      </c>
      <c r="BF35" s="92" t="s">
        <v>438</v>
      </c>
      <c r="BG35" s="92" t="s">
        <v>439</v>
      </c>
      <c r="BI35" s="92" t="s">
        <v>440</v>
      </c>
    </row>
    <row r="36" spans="1:62" x14ac:dyDescent="0.25">
      <c r="A36" s="92" t="s">
        <v>257</v>
      </c>
      <c r="C36" s="92" t="s">
        <v>441</v>
      </c>
      <c r="D36" s="92" t="s">
        <v>957</v>
      </c>
      <c r="E36" s="92" t="s">
        <v>442</v>
      </c>
      <c r="F36" s="92" t="s">
        <v>443</v>
      </c>
      <c r="G36" s="92" t="s">
        <v>444</v>
      </c>
      <c r="H36" s="92" t="s">
        <v>445</v>
      </c>
      <c r="I36" s="92" t="s">
        <v>446</v>
      </c>
      <c r="J36" s="92" t="s">
        <v>447</v>
      </c>
      <c r="K36" s="92" t="s">
        <v>448</v>
      </c>
      <c r="L36" s="92" t="s">
        <v>449</v>
      </c>
      <c r="M36" s="92" t="s">
        <v>450</v>
      </c>
      <c r="N36" s="92" t="s">
        <v>451</v>
      </c>
      <c r="O36" s="92" t="s">
        <v>452</v>
      </c>
      <c r="P36" s="92" t="s">
        <v>453</v>
      </c>
      <c r="R36" s="92" t="s">
        <v>454</v>
      </c>
      <c r="Y36" s="92" t="s">
        <v>455</v>
      </c>
      <c r="Z36" s="92" t="s">
        <v>981</v>
      </c>
      <c r="AC36" s="92" t="s">
        <v>226</v>
      </c>
      <c r="AD36" s="92" t="s">
        <v>456</v>
      </c>
      <c r="AN36" s="92" t="s">
        <v>1005</v>
      </c>
      <c r="AO36" s="92" t="s">
        <v>1029</v>
      </c>
      <c r="AP36" s="92" t="s">
        <v>1053</v>
      </c>
      <c r="AQ36" s="92" t="s">
        <v>1077</v>
      </c>
      <c r="AR36" s="92" t="s">
        <v>457</v>
      </c>
      <c r="AZ36" s="92" t="s">
        <v>1101</v>
      </c>
      <c r="BA36" s="92" t="s">
        <v>1125</v>
      </c>
      <c r="BB36" s="92" t="s">
        <v>1149</v>
      </c>
      <c r="BC36" s="92" t="s">
        <v>458</v>
      </c>
      <c r="BD36" s="92" t="s">
        <v>1173</v>
      </c>
      <c r="BE36" s="92" t="s">
        <v>1244</v>
      </c>
      <c r="BF36" s="92" t="s">
        <v>1267</v>
      </c>
      <c r="BG36" s="92" t="s">
        <v>240</v>
      </c>
      <c r="BH36" s="92" t="s">
        <v>1197</v>
      </c>
      <c r="BI36" s="92" t="s">
        <v>242</v>
      </c>
      <c r="BJ36" s="92" t="s">
        <v>1221</v>
      </c>
    </row>
    <row r="37" spans="1:62" x14ac:dyDescent="0.25">
      <c r="A37" s="92" t="s">
        <v>257</v>
      </c>
      <c r="D37" s="92" t="s">
        <v>459</v>
      </c>
      <c r="E37" s="92" t="s">
        <v>460</v>
      </c>
      <c r="R37" s="92" t="s">
        <v>55</v>
      </c>
      <c r="AF37" s="92" t="s">
        <v>461</v>
      </c>
      <c r="AM37" s="92" t="s">
        <v>462</v>
      </c>
      <c r="AQ37" s="92" t="s">
        <v>463</v>
      </c>
      <c r="AR37" s="92" t="s">
        <v>464</v>
      </c>
      <c r="AZ37" s="92" t="s">
        <v>465</v>
      </c>
      <c r="BB37" s="92" t="s">
        <v>466</v>
      </c>
      <c r="BE37" s="92" t="s">
        <v>467</v>
      </c>
      <c r="BF37" s="92" t="s">
        <v>468</v>
      </c>
      <c r="BG37" s="92" t="s">
        <v>469</v>
      </c>
      <c r="BI37" s="92" t="s">
        <v>470</v>
      </c>
    </row>
    <row r="38" spans="1:62" x14ac:dyDescent="0.25">
      <c r="A38" s="92" t="s">
        <v>257</v>
      </c>
      <c r="C38" s="92" t="s">
        <v>471</v>
      </c>
      <c r="D38" s="92" t="s">
        <v>958</v>
      </c>
      <c r="E38" s="92" t="s">
        <v>472</v>
      </c>
      <c r="F38" s="92" t="s">
        <v>473</v>
      </c>
      <c r="G38" s="92" t="s">
        <v>474</v>
      </c>
      <c r="H38" s="92" t="s">
        <v>475</v>
      </c>
      <c r="I38" s="92" t="s">
        <v>476</v>
      </c>
      <c r="J38" s="92" t="s">
        <v>477</v>
      </c>
      <c r="K38" s="92" t="s">
        <v>478</v>
      </c>
      <c r="L38" s="92" t="s">
        <v>479</v>
      </c>
      <c r="M38" s="92" t="s">
        <v>480</v>
      </c>
      <c r="N38" s="92" t="s">
        <v>481</v>
      </c>
      <c r="O38" s="92" t="s">
        <v>482</v>
      </c>
      <c r="P38" s="92" t="s">
        <v>483</v>
      </c>
      <c r="R38" s="92" t="s">
        <v>484</v>
      </c>
      <c r="Y38" s="92" t="s">
        <v>485</v>
      </c>
      <c r="Z38" s="92" t="s">
        <v>982</v>
      </c>
      <c r="AC38" s="92" t="s">
        <v>226</v>
      </c>
      <c r="AD38" s="92" t="s">
        <v>486</v>
      </c>
      <c r="AN38" s="92" t="s">
        <v>1006</v>
      </c>
      <c r="AO38" s="92" t="s">
        <v>1030</v>
      </c>
      <c r="AP38" s="92" t="s">
        <v>1054</v>
      </c>
      <c r="AQ38" s="92" t="s">
        <v>1078</v>
      </c>
      <c r="AR38" s="92" t="s">
        <v>487</v>
      </c>
      <c r="AZ38" s="92" t="s">
        <v>1102</v>
      </c>
      <c r="BA38" s="92" t="s">
        <v>1126</v>
      </c>
      <c r="BB38" s="92" t="s">
        <v>1150</v>
      </c>
      <c r="BC38" s="92" t="s">
        <v>488</v>
      </c>
      <c r="BD38" s="92" t="s">
        <v>1174</v>
      </c>
      <c r="BE38" s="92" t="s">
        <v>1245</v>
      </c>
      <c r="BF38" s="92" t="s">
        <v>1268</v>
      </c>
      <c r="BG38" s="92" t="s">
        <v>240</v>
      </c>
      <c r="BH38" s="92" t="s">
        <v>1198</v>
      </c>
      <c r="BI38" s="92" t="s">
        <v>242</v>
      </c>
      <c r="BJ38" s="92" t="s">
        <v>1222</v>
      </c>
    </row>
    <row r="39" spans="1:62" x14ac:dyDescent="0.25">
      <c r="A39" s="92" t="s">
        <v>257</v>
      </c>
      <c r="D39" s="92" t="s">
        <v>489</v>
      </c>
      <c r="E39" s="92" t="s">
        <v>490</v>
      </c>
      <c r="R39" s="92" t="s">
        <v>55</v>
      </c>
      <c r="AF39" s="92" t="s">
        <v>491</v>
      </c>
      <c r="AM39" s="92" t="s">
        <v>492</v>
      </c>
      <c r="AQ39" s="92" t="s">
        <v>493</v>
      </c>
      <c r="AR39" s="92" t="s">
        <v>494</v>
      </c>
      <c r="AZ39" s="92" t="s">
        <v>495</v>
      </c>
      <c r="BB39" s="92" t="s">
        <v>496</v>
      </c>
      <c r="BE39" s="92" t="s">
        <v>497</v>
      </c>
      <c r="BF39" s="92" t="s">
        <v>498</v>
      </c>
      <c r="BG39" s="92" t="s">
        <v>499</v>
      </c>
      <c r="BI39" s="92" t="s">
        <v>500</v>
      </c>
    </row>
    <row r="40" spans="1:62" x14ac:dyDescent="0.25">
      <c r="A40" s="92" t="s">
        <v>257</v>
      </c>
      <c r="C40" s="92" t="s">
        <v>501</v>
      </c>
      <c r="D40" s="92" t="s">
        <v>959</v>
      </c>
      <c r="E40" s="92" t="s">
        <v>502</v>
      </c>
      <c r="F40" s="92" t="s">
        <v>503</v>
      </c>
      <c r="G40" s="92" t="s">
        <v>504</v>
      </c>
      <c r="H40" s="92" t="s">
        <v>505</v>
      </c>
      <c r="I40" s="92" t="s">
        <v>506</v>
      </c>
      <c r="J40" s="92" t="s">
        <v>507</v>
      </c>
      <c r="K40" s="92" t="s">
        <v>508</v>
      </c>
      <c r="L40" s="92" t="s">
        <v>509</v>
      </c>
      <c r="M40" s="92" t="s">
        <v>510</v>
      </c>
      <c r="N40" s="92" t="s">
        <v>511</v>
      </c>
      <c r="O40" s="92" t="s">
        <v>512</v>
      </c>
      <c r="P40" s="92" t="s">
        <v>513</v>
      </c>
      <c r="R40" s="92" t="s">
        <v>514</v>
      </c>
      <c r="Y40" s="92" t="s">
        <v>515</v>
      </c>
      <c r="Z40" s="92" t="s">
        <v>983</v>
      </c>
      <c r="AC40" s="92" t="s">
        <v>226</v>
      </c>
      <c r="AD40" s="92" t="s">
        <v>516</v>
      </c>
      <c r="AN40" s="92" t="s">
        <v>1007</v>
      </c>
      <c r="AO40" s="92" t="s">
        <v>1031</v>
      </c>
      <c r="AP40" s="92" t="s">
        <v>1055</v>
      </c>
      <c r="AQ40" s="92" t="s">
        <v>1079</v>
      </c>
      <c r="AR40" s="92" t="s">
        <v>517</v>
      </c>
      <c r="AZ40" s="92" t="s">
        <v>1103</v>
      </c>
      <c r="BA40" s="92" t="s">
        <v>1127</v>
      </c>
      <c r="BB40" s="92" t="s">
        <v>1151</v>
      </c>
      <c r="BC40" s="92" t="s">
        <v>518</v>
      </c>
      <c r="BD40" s="92" t="s">
        <v>1175</v>
      </c>
      <c r="BE40" s="92" t="s">
        <v>1246</v>
      </c>
      <c r="BF40" s="92" t="s">
        <v>1269</v>
      </c>
      <c r="BG40" s="92" t="s">
        <v>240</v>
      </c>
      <c r="BH40" s="92" t="s">
        <v>1199</v>
      </c>
      <c r="BI40" s="92" t="s">
        <v>242</v>
      </c>
      <c r="BJ40" s="92" t="s">
        <v>1223</v>
      </c>
    </row>
    <row r="41" spans="1:62" x14ac:dyDescent="0.25">
      <c r="A41" s="92" t="s">
        <v>257</v>
      </c>
      <c r="D41" s="92" t="s">
        <v>519</v>
      </c>
      <c r="E41" s="92" t="s">
        <v>520</v>
      </c>
      <c r="R41" s="92" t="s">
        <v>55</v>
      </c>
      <c r="AF41" s="92" t="s">
        <v>521</v>
      </c>
      <c r="AM41" s="92" t="s">
        <v>522</v>
      </c>
      <c r="AQ41" s="92" t="s">
        <v>523</v>
      </c>
      <c r="AR41" s="92" t="s">
        <v>524</v>
      </c>
      <c r="AZ41" s="92" t="s">
        <v>525</v>
      </c>
      <c r="BB41" s="92" t="s">
        <v>526</v>
      </c>
      <c r="BE41" s="92" t="s">
        <v>527</v>
      </c>
      <c r="BF41" s="92" t="s">
        <v>528</v>
      </c>
      <c r="BG41" s="92" t="s">
        <v>529</v>
      </c>
      <c r="BI41" s="92" t="s">
        <v>530</v>
      </c>
    </row>
    <row r="42" spans="1:62" x14ac:dyDescent="0.25">
      <c r="A42" s="92" t="s">
        <v>257</v>
      </c>
      <c r="C42" s="92" t="s">
        <v>531</v>
      </c>
      <c r="D42" s="92" t="s">
        <v>960</v>
      </c>
      <c r="E42" s="92" t="s">
        <v>532</v>
      </c>
      <c r="F42" s="92" t="s">
        <v>533</v>
      </c>
      <c r="G42" s="92" t="s">
        <v>534</v>
      </c>
      <c r="H42" s="92" t="s">
        <v>535</v>
      </c>
      <c r="I42" s="92" t="s">
        <v>536</v>
      </c>
      <c r="J42" s="92" t="s">
        <v>537</v>
      </c>
      <c r="K42" s="92" t="s">
        <v>538</v>
      </c>
      <c r="L42" s="92" t="s">
        <v>539</v>
      </c>
      <c r="M42" s="92" t="s">
        <v>540</v>
      </c>
      <c r="N42" s="92" t="s">
        <v>541</v>
      </c>
      <c r="O42" s="92" t="s">
        <v>542</v>
      </c>
      <c r="P42" s="92" t="s">
        <v>543</v>
      </c>
      <c r="R42" s="92" t="s">
        <v>544</v>
      </c>
      <c r="Y42" s="92" t="s">
        <v>545</v>
      </c>
      <c r="Z42" s="92" t="s">
        <v>984</v>
      </c>
      <c r="AC42" s="92" t="s">
        <v>226</v>
      </c>
      <c r="AD42" s="92" t="s">
        <v>546</v>
      </c>
      <c r="AN42" s="92" t="s">
        <v>1008</v>
      </c>
      <c r="AO42" s="92" t="s">
        <v>1032</v>
      </c>
      <c r="AP42" s="92" t="s">
        <v>1056</v>
      </c>
      <c r="AQ42" s="92" t="s">
        <v>1080</v>
      </c>
      <c r="AR42" s="92" t="s">
        <v>547</v>
      </c>
      <c r="AZ42" s="92" t="s">
        <v>1104</v>
      </c>
      <c r="BA42" s="92" t="s">
        <v>1128</v>
      </c>
      <c r="BB42" s="92" t="s">
        <v>1152</v>
      </c>
      <c r="BC42" s="92" t="s">
        <v>548</v>
      </c>
      <c r="BD42" s="92" t="s">
        <v>1176</v>
      </c>
      <c r="BE42" s="92" t="s">
        <v>1247</v>
      </c>
      <c r="BF42" s="92" t="s">
        <v>1270</v>
      </c>
      <c r="BG42" s="92" t="s">
        <v>240</v>
      </c>
      <c r="BH42" s="92" t="s">
        <v>1200</v>
      </c>
      <c r="BI42" s="92" t="s">
        <v>242</v>
      </c>
      <c r="BJ42" s="92" t="s">
        <v>1224</v>
      </c>
    </row>
    <row r="43" spans="1:62" x14ac:dyDescent="0.25">
      <c r="A43" s="92" t="s">
        <v>257</v>
      </c>
      <c r="D43" s="92" t="s">
        <v>549</v>
      </c>
      <c r="E43" s="92" t="s">
        <v>550</v>
      </c>
      <c r="R43" s="92" t="s">
        <v>55</v>
      </c>
      <c r="AF43" s="92" t="s">
        <v>551</v>
      </c>
      <c r="AM43" s="92" t="s">
        <v>552</v>
      </c>
      <c r="AQ43" s="92" t="s">
        <v>553</v>
      </c>
      <c r="AR43" s="92" t="s">
        <v>554</v>
      </c>
      <c r="AZ43" s="92" t="s">
        <v>555</v>
      </c>
      <c r="BB43" s="92" t="s">
        <v>556</v>
      </c>
      <c r="BE43" s="92" t="s">
        <v>557</v>
      </c>
      <c r="BF43" s="92" t="s">
        <v>558</v>
      </c>
      <c r="BG43" s="92" t="s">
        <v>559</v>
      </c>
      <c r="BI43" s="92" t="s">
        <v>560</v>
      </c>
    </row>
    <row r="44" spans="1:62" x14ac:dyDescent="0.25">
      <c r="A44" s="92" t="s">
        <v>257</v>
      </c>
      <c r="C44" s="92" t="s">
        <v>561</v>
      </c>
      <c r="D44" s="92" t="s">
        <v>961</v>
      </c>
      <c r="E44" s="92" t="s">
        <v>562</v>
      </c>
      <c r="F44" s="92" t="s">
        <v>563</v>
      </c>
      <c r="G44" s="92" t="s">
        <v>564</v>
      </c>
      <c r="H44" s="92" t="s">
        <v>565</v>
      </c>
      <c r="I44" s="92" t="s">
        <v>566</v>
      </c>
      <c r="J44" s="92" t="s">
        <v>567</v>
      </c>
      <c r="K44" s="92" t="s">
        <v>568</v>
      </c>
      <c r="L44" s="92" t="s">
        <v>569</v>
      </c>
      <c r="M44" s="92" t="s">
        <v>570</v>
      </c>
      <c r="N44" s="92" t="s">
        <v>571</v>
      </c>
      <c r="O44" s="92" t="s">
        <v>572</v>
      </c>
      <c r="P44" s="92" t="s">
        <v>573</v>
      </c>
      <c r="R44" s="92" t="s">
        <v>574</v>
      </c>
      <c r="Y44" s="92" t="s">
        <v>575</v>
      </c>
      <c r="Z44" s="92" t="s">
        <v>985</v>
      </c>
      <c r="AC44" s="92" t="s">
        <v>226</v>
      </c>
      <c r="AD44" s="92" t="s">
        <v>576</v>
      </c>
      <c r="AN44" s="92" t="s">
        <v>1009</v>
      </c>
      <c r="AO44" s="92" t="s">
        <v>1033</v>
      </c>
      <c r="AP44" s="92" t="s">
        <v>1057</v>
      </c>
      <c r="AQ44" s="92" t="s">
        <v>1081</v>
      </c>
      <c r="AR44" s="92" t="s">
        <v>577</v>
      </c>
      <c r="AZ44" s="92" t="s">
        <v>1105</v>
      </c>
      <c r="BA44" s="92" t="s">
        <v>1129</v>
      </c>
      <c r="BB44" s="92" t="s">
        <v>1153</v>
      </c>
      <c r="BC44" s="92" t="s">
        <v>578</v>
      </c>
      <c r="BD44" s="92" t="s">
        <v>1177</v>
      </c>
      <c r="BE44" s="92" t="s">
        <v>1248</v>
      </c>
      <c r="BF44" s="92" t="s">
        <v>1271</v>
      </c>
      <c r="BG44" s="92" t="s">
        <v>240</v>
      </c>
      <c r="BH44" s="92" t="s">
        <v>1201</v>
      </c>
      <c r="BI44" s="92" t="s">
        <v>242</v>
      </c>
      <c r="BJ44" s="92" t="s">
        <v>1225</v>
      </c>
    </row>
    <row r="45" spans="1:62" x14ac:dyDescent="0.25">
      <c r="A45" s="92" t="s">
        <v>257</v>
      </c>
      <c r="D45" s="92" t="s">
        <v>579</v>
      </c>
      <c r="E45" s="92" t="s">
        <v>580</v>
      </c>
      <c r="R45" s="92" t="s">
        <v>55</v>
      </c>
      <c r="AF45" s="92" t="s">
        <v>581</v>
      </c>
      <c r="AM45" s="92" t="s">
        <v>582</v>
      </c>
      <c r="AQ45" s="92" t="s">
        <v>583</v>
      </c>
      <c r="AR45" s="92" t="s">
        <v>584</v>
      </c>
      <c r="AZ45" s="92" t="s">
        <v>585</v>
      </c>
      <c r="BB45" s="92" t="s">
        <v>586</v>
      </c>
      <c r="BE45" s="92" t="s">
        <v>587</v>
      </c>
      <c r="BF45" s="92" t="s">
        <v>588</v>
      </c>
      <c r="BG45" s="92" t="s">
        <v>589</v>
      </c>
      <c r="BI45" s="92" t="s">
        <v>590</v>
      </c>
    </row>
    <row r="46" spans="1:62" x14ac:dyDescent="0.25">
      <c r="A46" s="92" t="s">
        <v>257</v>
      </c>
      <c r="C46" s="92" t="s">
        <v>591</v>
      </c>
      <c r="D46" s="92" t="s">
        <v>962</v>
      </c>
      <c r="E46" s="92" t="s">
        <v>592</v>
      </c>
      <c r="F46" s="92" t="s">
        <v>593</v>
      </c>
      <c r="G46" s="92" t="s">
        <v>594</v>
      </c>
      <c r="H46" s="92" t="s">
        <v>595</v>
      </c>
      <c r="I46" s="92" t="s">
        <v>596</v>
      </c>
      <c r="J46" s="92" t="s">
        <v>597</v>
      </c>
      <c r="K46" s="92" t="s">
        <v>598</v>
      </c>
      <c r="L46" s="92" t="s">
        <v>599</v>
      </c>
      <c r="M46" s="92" t="s">
        <v>600</v>
      </c>
      <c r="N46" s="92" t="s">
        <v>601</v>
      </c>
      <c r="O46" s="92" t="s">
        <v>602</v>
      </c>
      <c r="P46" s="92" t="s">
        <v>603</v>
      </c>
      <c r="R46" s="92" t="s">
        <v>604</v>
      </c>
      <c r="Y46" s="92" t="s">
        <v>605</v>
      </c>
      <c r="Z46" s="92" t="s">
        <v>986</v>
      </c>
      <c r="AC46" s="92" t="s">
        <v>226</v>
      </c>
      <c r="AD46" s="92" t="s">
        <v>606</v>
      </c>
      <c r="AN46" s="92" t="s">
        <v>1010</v>
      </c>
      <c r="AO46" s="92" t="s">
        <v>1034</v>
      </c>
      <c r="AP46" s="92" t="s">
        <v>1058</v>
      </c>
      <c r="AQ46" s="92" t="s">
        <v>1082</v>
      </c>
      <c r="AR46" s="92" t="s">
        <v>607</v>
      </c>
      <c r="AZ46" s="92" t="s">
        <v>1106</v>
      </c>
      <c r="BA46" s="92" t="s">
        <v>1130</v>
      </c>
      <c r="BB46" s="92" t="s">
        <v>1154</v>
      </c>
      <c r="BC46" s="92" t="s">
        <v>608</v>
      </c>
      <c r="BD46" s="92" t="s">
        <v>1178</v>
      </c>
      <c r="BE46" s="92" t="s">
        <v>1249</v>
      </c>
      <c r="BF46" s="92" t="s">
        <v>1272</v>
      </c>
      <c r="BG46" s="92" t="s">
        <v>240</v>
      </c>
      <c r="BH46" s="92" t="s">
        <v>1202</v>
      </c>
      <c r="BI46" s="92" t="s">
        <v>242</v>
      </c>
      <c r="BJ46" s="92" t="s">
        <v>1226</v>
      </c>
    </row>
    <row r="47" spans="1:62" x14ac:dyDescent="0.25">
      <c r="A47" s="92" t="s">
        <v>257</v>
      </c>
      <c r="D47" s="92" t="s">
        <v>609</v>
      </c>
      <c r="E47" s="92" t="s">
        <v>610</v>
      </c>
      <c r="R47" s="92" t="s">
        <v>55</v>
      </c>
      <c r="AF47" s="92" t="s">
        <v>611</v>
      </c>
      <c r="AM47" s="92" t="s">
        <v>612</v>
      </c>
      <c r="AQ47" s="92" t="s">
        <v>613</v>
      </c>
      <c r="AR47" s="92" t="s">
        <v>614</v>
      </c>
      <c r="AZ47" s="92" t="s">
        <v>615</v>
      </c>
      <c r="BB47" s="92" t="s">
        <v>616</v>
      </c>
      <c r="BE47" s="92" t="s">
        <v>617</v>
      </c>
      <c r="BF47" s="92" t="s">
        <v>618</v>
      </c>
      <c r="BG47" s="92" t="s">
        <v>619</v>
      </c>
      <c r="BI47" s="92" t="s">
        <v>620</v>
      </c>
    </row>
    <row r="48" spans="1:62" x14ac:dyDescent="0.25">
      <c r="A48" s="92" t="s">
        <v>257</v>
      </c>
      <c r="C48" s="92" t="s">
        <v>621</v>
      </c>
      <c r="D48" s="92" t="s">
        <v>963</v>
      </c>
      <c r="E48" s="92" t="s">
        <v>622</v>
      </c>
      <c r="F48" s="92" t="s">
        <v>623</v>
      </c>
      <c r="G48" s="92" t="s">
        <v>624</v>
      </c>
      <c r="H48" s="92" t="s">
        <v>625</v>
      </c>
      <c r="I48" s="92" t="s">
        <v>626</v>
      </c>
      <c r="J48" s="92" t="s">
        <v>627</v>
      </c>
      <c r="K48" s="92" t="s">
        <v>628</v>
      </c>
      <c r="L48" s="92" t="s">
        <v>629</v>
      </c>
      <c r="M48" s="92" t="s">
        <v>630</v>
      </c>
      <c r="N48" s="92" t="s">
        <v>631</v>
      </c>
      <c r="O48" s="92" t="s">
        <v>632</v>
      </c>
      <c r="P48" s="92" t="s">
        <v>633</v>
      </c>
      <c r="R48" s="92" t="s">
        <v>634</v>
      </c>
      <c r="Y48" s="92" t="s">
        <v>635</v>
      </c>
      <c r="Z48" s="92" t="s">
        <v>987</v>
      </c>
      <c r="AC48" s="92" t="s">
        <v>226</v>
      </c>
      <c r="AD48" s="92" t="s">
        <v>636</v>
      </c>
      <c r="AN48" s="92" t="s">
        <v>1011</v>
      </c>
      <c r="AO48" s="92" t="s">
        <v>1035</v>
      </c>
      <c r="AP48" s="92" t="s">
        <v>1059</v>
      </c>
      <c r="AQ48" s="92" t="s">
        <v>1083</v>
      </c>
      <c r="AR48" s="92" t="s">
        <v>637</v>
      </c>
      <c r="AZ48" s="92" t="s">
        <v>1107</v>
      </c>
      <c r="BA48" s="92" t="s">
        <v>1131</v>
      </c>
      <c r="BB48" s="92" t="s">
        <v>1155</v>
      </c>
      <c r="BC48" s="92" t="s">
        <v>638</v>
      </c>
      <c r="BD48" s="92" t="s">
        <v>1179</v>
      </c>
      <c r="BE48" s="92" t="s">
        <v>1250</v>
      </c>
      <c r="BF48" s="92" t="s">
        <v>1273</v>
      </c>
      <c r="BG48" s="92" t="s">
        <v>240</v>
      </c>
      <c r="BH48" s="92" t="s">
        <v>1203</v>
      </c>
      <c r="BI48" s="92" t="s">
        <v>242</v>
      </c>
      <c r="BJ48" s="92" t="s">
        <v>1227</v>
      </c>
    </row>
    <row r="49" spans="1:62" x14ac:dyDescent="0.25">
      <c r="A49" s="92" t="s">
        <v>257</v>
      </c>
      <c r="D49" s="92" t="s">
        <v>639</v>
      </c>
      <c r="E49" s="92" t="s">
        <v>640</v>
      </c>
      <c r="R49" s="92" t="s">
        <v>55</v>
      </c>
      <c r="AF49" s="92" t="s">
        <v>641</v>
      </c>
      <c r="AM49" s="92" t="s">
        <v>642</v>
      </c>
      <c r="AQ49" s="92" t="s">
        <v>643</v>
      </c>
      <c r="AR49" s="92" t="s">
        <v>644</v>
      </c>
      <c r="AZ49" s="92" t="s">
        <v>645</v>
      </c>
      <c r="BB49" s="92" t="s">
        <v>646</v>
      </c>
      <c r="BE49" s="92" t="s">
        <v>647</v>
      </c>
      <c r="BF49" s="92" t="s">
        <v>648</v>
      </c>
      <c r="BG49" s="92" t="s">
        <v>649</v>
      </c>
      <c r="BI49" s="92" t="s">
        <v>650</v>
      </c>
    </row>
    <row r="50" spans="1:62" x14ac:dyDescent="0.25">
      <c r="A50" s="92" t="s">
        <v>257</v>
      </c>
      <c r="C50" s="92" t="s">
        <v>651</v>
      </c>
      <c r="D50" s="92" t="s">
        <v>964</v>
      </c>
      <c r="E50" s="92" t="s">
        <v>652</v>
      </c>
      <c r="F50" s="92" t="s">
        <v>653</v>
      </c>
      <c r="G50" s="92" t="s">
        <v>654</v>
      </c>
      <c r="H50" s="92" t="s">
        <v>655</v>
      </c>
      <c r="I50" s="92" t="s">
        <v>656</v>
      </c>
      <c r="J50" s="92" t="s">
        <v>657</v>
      </c>
      <c r="K50" s="92" t="s">
        <v>658</v>
      </c>
      <c r="L50" s="92" t="s">
        <v>659</v>
      </c>
      <c r="M50" s="92" t="s">
        <v>660</v>
      </c>
      <c r="N50" s="92" t="s">
        <v>661</v>
      </c>
      <c r="O50" s="92" t="s">
        <v>662</v>
      </c>
      <c r="P50" s="92" t="s">
        <v>663</v>
      </c>
      <c r="R50" s="92" t="s">
        <v>664</v>
      </c>
      <c r="Y50" s="92" t="s">
        <v>665</v>
      </c>
      <c r="Z50" s="92" t="s">
        <v>988</v>
      </c>
      <c r="AC50" s="92" t="s">
        <v>226</v>
      </c>
      <c r="AD50" s="92" t="s">
        <v>666</v>
      </c>
      <c r="AN50" s="92" t="s">
        <v>1012</v>
      </c>
      <c r="AO50" s="92" t="s">
        <v>1036</v>
      </c>
      <c r="AP50" s="92" t="s">
        <v>1060</v>
      </c>
      <c r="AQ50" s="92" t="s">
        <v>1084</v>
      </c>
      <c r="AR50" s="92" t="s">
        <v>667</v>
      </c>
      <c r="AZ50" s="92" t="s">
        <v>1108</v>
      </c>
      <c r="BA50" s="92" t="s">
        <v>1132</v>
      </c>
      <c r="BB50" s="92" t="s">
        <v>1156</v>
      </c>
      <c r="BC50" s="92" t="s">
        <v>668</v>
      </c>
      <c r="BD50" s="92" t="s">
        <v>1180</v>
      </c>
      <c r="BE50" s="92" t="s">
        <v>1251</v>
      </c>
      <c r="BF50" s="92" t="s">
        <v>1274</v>
      </c>
      <c r="BG50" s="92" t="s">
        <v>240</v>
      </c>
      <c r="BH50" s="92" t="s">
        <v>1204</v>
      </c>
      <c r="BI50" s="92" t="s">
        <v>242</v>
      </c>
      <c r="BJ50" s="92" t="s">
        <v>1228</v>
      </c>
    </row>
    <row r="51" spans="1:62" x14ac:dyDescent="0.25">
      <c r="A51" s="92" t="s">
        <v>257</v>
      </c>
      <c r="D51" s="92" t="s">
        <v>669</v>
      </c>
      <c r="E51" s="92" t="s">
        <v>670</v>
      </c>
      <c r="R51" s="92" t="s">
        <v>55</v>
      </c>
      <c r="AF51" s="92" t="s">
        <v>671</v>
      </c>
      <c r="AM51" s="92" t="s">
        <v>672</v>
      </c>
      <c r="AQ51" s="92" t="s">
        <v>673</v>
      </c>
      <c r="AR51" s="92" t="s">
        <v>674</v>
      </c>
      <c r="AZ51" s="92" t="s">
        <v>675</v>
      </c>
      <c r="BB51" s="92" t="s">
        <v>676</v>
      </c>
      <c r="BE51" s="92" t="s">
        <v>677</v>
      </c>
      <c r="BF51" s="92" t="s">
        <v>678</v>
      </c>
      <c r="BG51" s="92" t="s">
        <v>679</v>
      </c>
      <c r="BI51" s="92" t="s">
        <v>680</v>
      </c>
    </row>
    <row r="52" spans="1:62" x14ac:dyDescent="0.25">
      <c r="A52" s="92" t="s">
        <v>257</v>
      </c>
      <c r="C52" s="92" t="s">
        <v>681</v>
      </c>
      <c r="D52" s="92" t="s">
        <v>965</v>
      </c>
      <c r="E52" s="92" t="s">
        <v>682</v>
      </c>
      <c r="F52" s="92" t="s">
        <v>683</v>
      </c>
      <c r="G52" s="92" t="s">
        <v>684</v>
      </c>
      <c r="H52" s="92" t="s">
        <v>685</v>
      </c>
      <c r="I52" s="92" t="s">
        <v>686</v>
      </c>
      <c r="J52" s="92" t="s">
        <v>687</v>
      </c>
      <c r="K52" s="92" t="s">
        <v>688</v>
      </c>
      <c r="L52" s="92" t="s">
        <v>689</v>
      </c>
      <c r="M52" s="92" t="s">
        <v>690</v>
      </c>
      <c r="N52" s="92" t="s">
        <v>691</v>
      </c>
      <c r="O52" s="92" t="s">
        <v>692</v>
      </c>
      <c r="P52" s="92" t="s">
        <v>693</v>
      </c>
      <c r="R52" s="92" t="s">
        <v>694</v>
      </c>
      <c r="Y52" s="92" t="s">
        <v>695</v>
      </c>
      <c r="Z52" s="92" t="s">
        <v>989</v>
      </c>
      <c r="AC52" s="92" t="s">
        <v>226</v>
      </c>
      <c r="AD52" s="92" t="s">
        <v>696</v>
      </c>
      <c r="AN52" s="92" t="s">
        <v>1013</v>
      </c>
      <c r="AO52" s="92" t="s">
        <v>1037</v>
      </c>
      <c r="AP52" s="92" t="s">
        <v>1061</v>
      </c>
      <c r="AQ52" s="92" t="s">
        <v>1085</v>
      </c>
      <c r="AR52" s="92" t="s">
        <v>697</v>
      </c>
      <c r="AZ52" s="92" t="s">
        <v>1109</v>
      </c>
      <c r="BA52" s="92" t="s">
        <v>1133</v>
      </c>
      <c r="BB52" s="92" t="s">
        <v>1157</v>
      </c>
      <c r="BC52" s="92" t="s">
        <v>698</v>
      </c>
      <c r="BD52" s="92" t="s">
        <v>1181</v>
      </c>
      <c r="BE52" s="92" t="s">
        <v>1252</v>
      </c>
      <c r="BF52" s="92" t="s">
        <v>1275</v>
      </c>
      <c r="BG52" s="92" t="s">
        <v>240</v>
      </c>
      <c r="BH52" s="92" t="s">
        <v>1205</v>
      </c>
      <c r="BI52" s="92" t="s">
        <v>242</v>
      </c>
      <c r="BJ52" s="92" t="s">
        <v>1229</v>
      </c>
    </row>
    <row r="53" spans="1:62" x14ac:dyDescent="0.25">
      <c r="A53" s="92" t="s">
        <v>257</v>
      </c>
      <c r="D53" s="92" t="s">
        <v>699</v>
      </c>
      <c r="E53" s="92" t="s">
        <v>700</v>
      </c>
      <c r="R53" s="92" t="s">
        <v>55</v>
      </c>
      <c r="AF53" s="92" t="s">
        <v>701</v>
      </c>
      <c r="AM53" s="92" t="s">
        <v>702</v>
      </c>
      <c r="AQ53" s="92" t="s">
        <v>703</v>
      </c>
      <c r="AR53" s="92" t="s">
        <v>704</v>
      </c>
      <c r="AZ53" s="92" t="s">
        <v>705</v>
      </c>
      <c r="BB53" s="92" t="s">
        <v>706</v>
      </c>
      <c r="BE53" s="92" t="s">
        <v>707</v>
      </c>
      <c r="BF53" s="92" t="s">
        <v>708</v>
      </c>
      <c r="BG53" s="92" t="s">
        <v>709</v>
      </c>
      <c r="BI53" s="92" t="s">
        <v>710</v>
      </c>
    </row>
    <row r="54" spans="1:62" x14ac:dyDescent="0.25">
      <c r="A54" s="92" t="s">
        <v>257</v>
      </c>
      <c r="C54" s="92" t="s">
        <v>711</v>
      </c>
      <c r="D54" s="92" t="s">
        <v>966</v>
      </c>
      <c r="E54" s="92" t="s">
        <v>712</v>
      </c>
      <c r="F54" s="92" t="s">
        <v>713</v>
      </c>
      <c r="G54" s="92" t="s">
        <v>714</v>
      </c>
      <c r="H54" s="92" t="s">
        <v>715</v>
      </c>
      <c r="I54" s="92" t="s">
        <v>716</v>
      </c>
      <c r="J54" s="92" t="s">
        <v>717</v>
      </c>
      <c r="K54" s="92" t="s">
        <v>718</v>
      </c>
      <c r="L54" s="92" t="s">
        <v>719</v>
      </c>
      <c r="M54" s="92" t="s">
        <v>720</v>
      </c>
      <c r="N54" s="92" t="s">
        <v>721</v>
      </c>
      <c r="O54" s="92" t="s">
        <v>722</v>
      </c>
      <c r="P54" s="92" t="s">
        <v>723</v>
      </c>
      <c r="R54" s="92" t="s">
        <v>724</v>
      </c>
      <c r="Y54" s="92" t="s">
        <v>725</v>
      </c>
      <c r="Z54" s="92" t="s">
        <v>990</v>
      </c>
      <c r="AC54" s="92" t="s">
        <v>226</v>
      </c>
      <c r="AD54" s="92" t="s">
        <v>726</v>
      </c>
      <c r="AN54" s="92" t="s">
        <v>1014</v>
      </c>
      <c r="AO54" s="92" t="s">
        <v>1038</v>
      </c>
      <c r="AP54" s="92" t="s">
        <v>1062</v>
      </c>
      <c r="AQ54" s="92" t="s">
        <v>1086</v>
      </c>
      <c r="AR54" s="92" t="s">
        <v>727</v>
      </c>
      <c r="AZ54" s="92" t="s">
        <v>1110</v>
      </c>
      <c r="BA54" s="92" t="s">
        <v>1134</v>
      </c>
      <c r="BB54" s="92" t="s">
        <v>1158</v>
      </c>
      <c r="BC54" s="92" t="s">
        <v>728</v>
      </c>
      <c r="BD54" s="92" t="s">
        <v>1182</v>
      </c>
      <c r="BE54" s="92" t="s">
        <v>1253</v>
      </c>
      <c r="BF54" s="92" t="s">
        <v>1276</v>
      </c>
      <c r="BG54" s="92" t="s">
        <v>240</v>
      </c>
      <c r="BH54" s="92" t="s">
        <v>1206</v>
      </c>
      <c r="BI54" s="92" t="s">
        <v>242</v>
      </c>
      <c r="BJ54" s="92" t="s">
        <v>1230</v>
      </c>
    </row>
    <row r="55" spans="1:62" x14ac:dyDescent="0.25">
      <c r="A55" s="92" t="s">
        <v>257</v>
      </c>
      <c r="D55" s="92" t="s">
        <v>729</v>
      </c>
      <c r="E55" s="92" t="s">
        <v>730</v>
      </c>
      <c r="R55" s="92" t="s">
        <v>55</v>
      </c>
      <c r="AF55" s="92" t="s">
        <v>731</v>
      </c>
      <c r="AM55" s="92" t="s">
        <v>732</v>
      </c>
      <c r="AQ55" s="92" t="s">
        <v>733</v>
      </c>
      <c r="AR55" s="92" t="s">
        <v>734</v>
      </c>
      <c r="AZ55" s="92" t="s">
        <v>735</v>
      </c>
      <c r="BB55" s="92" t="s">
        <v>736</v>
      </c>
      <c r="BE55" s="92" t="s">
        <v>737</v>
      </c>
      <c r="BF55" s="92" t="s">
        <v>738</v>
      </c>
      <c r="BG55" s="92" t="s">
        <v>739</v>
      </c>
      <c r="BI55" s="92" t="s">
        <v>740</v>
      </c>
    </row>
    <row r="56" spans="1:62" x14ac:dyDescent="0.25">
      <c r="A56" s="92" t="s">
        <v>257</v>
      </c>
      <c r="C56" s="92" t="s">
        <v>741</v>
      </c>
      <c r="D56" s="92" t="s">
        <v>967</v>
      </c>
      <c r="E56" s="92" t="s">
        <v>742</v>
      </c>
      <c r="F56" s="92" t="s">
        <v>743</v>
      </c>
      <c r="G56" s="92" t="s">
        <v>744</v>
      </c>
      <c r="H56" s="92" t="s">
        <v>745</v>
      </c>
      <c r="I56" s="92" t="s">
        <v>746</v>
      </c>
      <c r="J56" s="92" t="s">
        <v>747</v>
      </c>
      <c r="K56" s="92" t="s">
        <v>748</v>
      </c>
      <c r="L56" s="92" t="s">
        <v>749</v>
      </c>
      <c r="M56" s="92" t="s">
        <v>750</v>
      </c>
      <c r="N56" s="92" t="s">
        <v>751</v>
      </c>
      <c r="O56" s="92" t="s">
        <v>752</v>
      </c>
      <c r="P56" s="92" t="s">
        <v>753</v>
      </c>
      <c r="R56" s="92" t="s">
        <v>754</v>
      </c>
      <c r="Y56" s="92" t="s">
        <v>755</v>
      </c>
      <c r="Z56" s="92" t="s">
        <v>991</v>
      </c>
      <c r="AC56" s="92" t="s">
        <v>226</v>
      </c>
      <c r="AD56" s="92" t="s">
        <v>756</v>
      </c>
      <c r="AN56" s="92" t="s">
        <v>1015</v>
      </c>
      <c r="AO56" s="92" t="s">
        <v>1039</v>
      </c>
      <c r="AP56" s="92" t="s">
        <v>1063</v>
      </c>
      <c r="AQ56" s="92" t="s">
        <v>1087</v>
      </c>
      <c r="AR56" s="92" t="s">
        <v>757</v>
      </c>
      <c r="AZ56" s="92" t="s">
        <v>1111</v>
      </c>
      <c r="BA56" s="92" t="s">
        <v>1135</v>
      </c>
      <c r="BB56" s="92" t="s">
        <v>1159</v>
      </c>
      <c r="BC56" s="92" t="s">
        <v>758</v>
      </c>
      <c r="BD56" s="92" t="s">
        <v>1183</v>
      </c>
      <c r="BE56" s="92" t="s">
        <v>1254</v>
      </c>
      <c r="BF56" s="92" t="s">
        <v>1277</v>
      </c>
      <c r="BG56" s="92" t="s">
        <v>240</v>
      </c>
      <c r="BH56" s="92" t="s">
        <v>1207</v>
      </c>
      <c r="BI56" s="92" t="s">
        <v>242</v>
      </c>
      <c r="BJ56" s="92" t="s">
        <v>1231</v>
      </c>
    </row>
    <row r="57" spans="1:62" x14ac:dyDescent="0.25">
      <c r="A57" s="92" t="s">
        <v>257</v>
      </c>
      <c r="D57" s="92" t="s">
        <v>759</v>
      </c>
      <c r="E57" s="92" t="s">
        <v>760</v>
      </c>
      <c r="R57" s="92" t="s">
        <v>55</v>
      </c>
      <c r="AF57" s="92" t="s">
        <v>761</v>
      </c>
      <c r="AM57" s="92" t="s">
        <v>762</v>
      </c>
      <c r="AQ57" s="92" t="s">
        <v>763</v>
      </c>
      <c r="AR57" s="92" t="s">
        <v>764</v>
      </c>
      <c r="AZ57" s="92" t="s">
        <v>765</v>
      </c>
      <c r="BB57" s="92" t="s">
        <v>766</v>
      </c>
      <c r="BE57" s="92" t="s">
        <v>767</v>
      </c>
      <c r="BF57" s="92" t="s">
        <v>768</v>
      </c>
      <c r="BG57" s="92" t="s">
        <v>769</v>
      </c>
      <c r="BI57" s="92" t="s">
        <v>770</v>
      </c>
    </row>
    <row r="58" spans="1:62" x14ac:dyDescent="0.25">
      <c r="A58" s="92" t="s">
        <v>257</v>
      </c>
      <c r="C58" s="92" t="s">
        <v>771</v>
      </c>
      <c r="D58" s="92" t="s">
        <v>968</v>
      </c>
      <c r="E58" s="92" t="s">
        <v>772</v>
      </c>
      <c r="F58" s="92" t="s">
        <v>773</v>
      </c>
      <c r="G58" s="92" t="s">
        <v>774</v>
      </c>
      <c r="H58" s="92" t="s">
        <v>775</v>
      </c>
      <c r="I58" s="92" t="s">
        <v>776</v>
      </c>
      <c r="J58" s="92" t="s">
        <v>777</v>
      </c>
      <c r="K58" s="92" t="s">
        <v>778</v>
      </c>
      <c r="L58" s="92" t="s">
        <v>779</v>
      </c>
      <c r="M58" s="92" t="s">
        <v>780</v>
      </c>
      <c r="N58" s="92" t="s">
        <v>781</v>
      </c>
      <c r="O58" s="92" t="s">
        <v>782</v>
      </c>
      <c r="P58" s="92" t="s">
        <v>783</v>
      </c>
      <c r="R58" s="92" t="s">
        <v>784</v>
      </c>
      <c r="Y58" s="92" t="s">
        <v>785</v>
      </c>
      <c r="Z58" s="92" t="s">
        <v>992</v>
      </c>
      <c r="AC58" s="92" t="s">
        <v>226</v>
      </c>
      <c r="AD58" s="92" t="s">
        <v>786</v>
      </c>
      <c r="AN58" s="92" t="s">
        <v>1016</v>
      </c>
      <c r="AO58" s="92" t="s">
        <v>1040</v>
      </c>
      <c r="AP58" s="92" t="s">
        <v>1064</v>
      </c>
      <c r="AQ58" s="92" t="s">
        <v>1088</v>
      </c>
      <c r="AR58" s="92" t="s">
        <v>787</v>
      </c>
      <c r="AZ58" s="92" t="s">
        <v>1112</v>
      </c>
      <c r="BA58" s="92" t="s">
        <v>1136</v>
      </c>
      <c r="BB58" s="92" t="s">
        <v>1160</v>
      </c>
      <c r="BC58" s="92" t="s">
        <v>788</v>
      </c>
      <c r="BD58" s="92" t="s">
        <v>1184</v>
      </c>
      <c r="BE58" s="92" t="s">
        <v>1255</v>
      </c>
      <c r="BF58" s="92" t="s">
        <v>1278</v>
      </c>
      <c r="BG58" s="92" t="s">
        <v>240</v>
      </c>
      <c r="BH58" s="92" t="s">
        <v>1208</v>
      </c>
      <c r="BI58" s="92" t="s">
        <v>242</v>
      </c>
      <c r="BJ58" s="92" t="s">
        <v>1232</v>
      </c>
    </row>
    <row r="59" spans="1:62" x14ac:dyDescent="0.25">
      <c r="A59" s="92" t="s">
        <v>257</v>
      </c>
      <c r="D59" s="92" t="s">
        <v>789</v>
      </c>
      <c r="E59" s="92" t="s">
        <v>790</v>
      </c>
      <c r="R59" s="92" t="s">
        <v>55</v>
      </c>
      <c r="AF59" s="92" t="s">
        <v>791</v>
      </c>
      <c r="AM59" s="92" t="s">
        <v>792</v>
      </c>
      <c r="AQ59" s="92" t="s">
        <v>793</v>
      </c>
      <c r="AR59" s="92" t="s">
        <v>794</v>
      </c>
      <c r="AZ59" s="92" t="s">
        <v>795</v>
      </c>
      <c r="BB59" s="92" t="s">
        <v>796</v>
      </c>
      <c r="BE59" s="92" t="s">
        <v>797</v>
      </c>
      <c r="BF59" s="92" t="s">
        <v>798</v>
      </c>
      <c r="BG59" s="92" t="s">
        <v>799</v>
      </c>
      <c r="BI59" s="92" t="s">
        <v>800</v>
      </c>
    </row>
    <row r="60" spans="1:62" x14ac:dyDescent="0.25">
      <c r="A60" s="92" t="s">
        <v>257</v>
      </c>
      <c r="C60" s="92" t="s">
        <v>801</v>
      </c>
      <c r="D60" s="92" t="s">
        <v>969</v>
      </c>
      <c r="E60" s="92" t="s">
        <v>802</v>
      </c>
      <c r="F60" s="92" t="s">
        <v>803</v>
      </c>
      <c r="G60" s="92" t="s">
        <v>804</v>
      </c>
      <c r="H60" s="92" t="s">
        <v>805</v>
      </c>
      <c r="I60" s="92" t="s">
        <v>806</v>
      </c>
      <c r="J60" s="92" t="s">
        <v>807</v>
      </c>
      <c r="K60" s="92" t="s">
        <v>808</v>
      </c>
      <c r="L60" s="92" t="s">
        <v>809</v>
      </c>
      <c r="M60" s="92" t="s">
        <v>810</v>
      </c>
      <c r="N60" s="92" t="s">
        <v>811</v>
      </c>
      <c r="O60" s="92" t="s">
        <v>812</v>
      </c>
      <c r="P60" s="92" t="s">
        <v>813</v>
      </c>
      <c r="R60" s="92" t="s">
        <v>814</v>
      </c>
      <c r="Y60" s="92" t="s">
        <v>815</v>
      </c>
      <c r="Z60" s="92" t="s">
        <v>993</v>
      </c>
      <c r="AC60" s="92" t="s">
        <v>226</v>
      </c>
      <c r="AD60" s="92" t="s">
        <v>816</v>
      </c>
      <c r="AN60" s="92" t="s">
        <v>1017</v>
      </c>
      <c r="AO60" s="92" t="s">
        <v>1041</v>
      </c>
      <c r="AP60" s="92" t="s">
        <v>1065</v>
      </c>
      <c r="AQ60" s="92" t="s">
        <v>1089</v>
      </c>
      <c r="AR60" s="92" t="s">
        <v>817</v>
      </c>
      <c r="AZ60" s="92" t="s">
        <v>1113</v>
      </c>
      <c r="BA60" s="92" t="s">
        <v>1137</v>
      </c>
      <c r="BB60" s="92" t="s">
        <v>1161</v>
      </c>
      <c r="BC60" s="92" t="s">
        <v>818</v>
      </c>
      <c r="BD60" s="92" t="s">
        <v>1185</v>
      </c>
      <c r="BE60" s="92" t="s">
        <v>1256</v>
      </c>
      <c r="BF60" s="92" t="s">
        <v>1279</v>
      </c>
      <c r="BG60" s="92" t="s">
        <v>240</v>
      </c>
      <c r="BH60" s="92" t="s">
        <v>1209</v>
      </c>
      <c r="BI60" s="92" t="s">
        <v>242</v>
      </c>
      <c r="BJ60" s="92" t="s">
        <v>1233</v>
      </c>
    </row>
    <row r="61" spans="1:62" x14ac:dyDescent="0.25">
      <c r="A61" s="92" t="s">
        <v>257</v>
      </c>
      <c r="D61" s="92" t="s">
        <v>819</v>
      </c>
      <c r="E61" s="92" t="s">
        <v>820</v>
      </c>
      <c r="R61" s="92" t="s">
        <v>55</v>
      </c>
      <c r="AF61" s="92" t="s">
        <v>821</v>
      </c>
      <c r="AM61" s="92" t="s">
        <v>822</v>
      </c>
      <c r="AQ61" s="92" t="s">
        <v>823</v>
      </c>
      <c r="AR61" s="92" t="s">
        <v>824</v>
      </c>
      <c r="AZ61" s="92" t="s">
        <v>825</v>
      </c>
      <c r="BB61" s="92" t="s">
        <v>826</v>
      </c>
      <c r="BE61" s="92" t="s">
        <v>827</v>
      </c>
      <c r="BF61" s="92" t="s">
        <v>828</v>
      </c>
      <c r="BG61" s="92" t="s">
        <v>829</v>
      </c>
      <c r="BI61" s="92" t="s">
        <v>830</v>
      </c>
    </row>
    <row r="62" spans="1:62" x14ac:dyDescent="0.25">
      <c r="A62" s="92" t="s">
        <v>257</v>
      </c>
      <c r="C62" s="92" t="s">
        <v>831</v>
      </c>
      <c r="D62" s="92" t="s">
        <v>970</v>
      </c>
      <c r="E62" s="92" t="s">
        <v>832</v>
      </c>
      <c r="F62" s="92" t="s">
        <v>833</v>
      </c>
      <c r="G62" s="92" t="s">
        <v>834</v>
      </c>
      <c r="H62" s="92" t="s">
        <v>835</v>
      </c>
      <c r="I62" s="92" t="s">
        <v>836</v>
      </c>
      <c r="J62" s="92" t="s">
        <v>837</v>
      </c>
      <c r="K62" s="92" t="s">
        <v>838</v>
      </c>
      <c r="L62" s="92" t="s">
        <v>839</v>
      </c>
      <c r="M62" s="92" t="s">
        <v>840</v>
      </c>
      <c r="N62" s="92" t="s">
        <v>841</v>
      </c>
      <c r="O62" s="92" t="s">
        <v>842</v>
      </c>
      <c r="P62" s="92" t="s">
        <v>843</v>
      </c>
      <c r="R62" s="92" t="s">
        <v>844</v>
      </c>
      <c r="Y62" s="92" t="s">
        <v>845</v>
      </c>
      <c r="Z62" s="92" t="s">
        <v>994</v>
      </c>
      <c r="AC62" s="92" t="s">
        <v>226</v>
      </c>
      <c r="AD62" s="92" t="s">
        <v>846</v>
      </c>
      <c r="AN62" s="92" t="s">
        <v>1018</v>
      </c>
      <c r="AO62" s="92" t="s">
        <v>1042</v>
      </c>
      <c r="AP62" s="92" t="s">
        <v>1066</v>
      </c>
      <c r="AQ62" s="92" t="s">
        <v>1090</v>
      </c>
      <c r="AR62" s="92" t="s">
        <v>847</v>
      </c>
      <c r="AZ62" s="92" t="s">
        <v>1114</v>
      </c>
      <c r="BA62" s="92" t="s">
        <v>1138</v>
      </c>
      <c r="BB62" s="92" t="s">
        <v>1162</v>
      </c>
      <c r="BC62" s="92" t="s">
        <v>848</v>
      </c>
      <c r="BD62" s="92" t="s">
        <v>1186</v>
      </c>
      <c r="BE62" s="92" t="s">
        <v>1257</v>
      </c>
      <c r="BF62" s="92" t="s">
        <v>1280</v>
      </c>
      <c r="BG62" s="92" t="s">
        <v>240</v>
      </c>
      <c r="BH62" s="92" t="s">
        <v>1210</v>
      </c>
      <c r="BI62" s="92" t="s">
        <v>242</v>
      </c>
      <c r="BJ62" s="92" t="s">
        <v>1234</v>
      </c>
    </row>
    <row r="63" spans="1:62" x14ac:dyDescent="0.25">
      <c r="A63" s="92" t="s">
        <v>257</v>
      </c>
      <c r="D63" s="92" t="s">
        <v>849</v>
      </c>
      <c r="E63" s="92" t="s">
        <v>850</v>
      </c>
      <c r="R63" s="92" t="s">
        <v>55</v>
      </c>
      <c r="AF63" s="92" t="s">
        <v>851</v>
      </c>
      <c r="AM63" s="92" t="s">
        <v>852</v>
      </c>
      <c r="AQ63" s="92" t="s">
        <v>853</v>
      </c>
      <c r="AR63" s="92" t="s">
        <v>854</v>
      </c>
      <c r="AZ63" s="92" t="s">
        <v>855</v>
      </c>
      <c r="BB63" s="92" t="s">
        <v>856</v>
      </c>
      <c r="BE63" s="92" t="s">
        <v>857</v>
      </c>
      <c r="BF63" s="92" t="s">
        <v>858</v>
      </c>
      <c r="BG63" s="92" t="s">
        <v>859</v>
      </c>
      <c r="BI63" s="92" t="s">
        <v>860</v>
      </c>
    </row>
    <row r="64" spans="1:62" x14ac:dyDescent="0.25">
      <c r="A64" s="92" t="s">
        <v>257</v>
      </c>
      <c r="C64" s="92" t="s">
        <v>861</v>
      </c>
      <c r="D64" s="92" t="s">
        <v>971</v>
      </c>
      <c r="E64" s="92" t="s">
        <v>862</v>
      </c>
      <c r="F64" s="92" t="s">
        <v>863</v>
      </c>
      <c r="G64" s="92" t="s">
        <v>864</v>
      </c>
      <c r="H64" s="92" t="s">
        <v>865</v>
      </c>
      <c r="I64" s="92" t="s">
        <v>866</v>
      </c>
      <c r="J64" s="92" t="s">
        <v>867</v>
      </c>
      <c r="K64" s="92" t="s">
        <v>868</v>
      </c>
      <c r="L64" s="92" t="s">
        <v>869</v>
      </c>
      <c r="M64" s="92" t="s">
        <v>870</v>
      </c>
      <c r="N64" s="92" t="s">
        <v>871</v>
      </c>
      <c r="O64" s="92" t="s">
        <v>872</v>
      </c>
      <c r="P64" s="92" t="s">
        <v>873</v>
      </c>
      <c r="R64" s="92" t="s">
        <v>874</v>
      </c>
      <c r="Y64" s="92" t="s">
        <v>875</v>
      </c>
      <c r="Z64" s="92" t="s">
        <v>995</v>
      </c>
      <c r="AC64" s="92" t="s">
        <v>226</v>
      </c>
      <c r="AD64" s="92" t="s">
        <v>876</v>
      </c>
      <c r="AN64" s="92" t="s">
        <v>1019</v>
      </c>
      <c r="AO64" s="92" t="s">
        <v>1043</v>
      </c>
      <c r="AP64" s="92" t="s">
        <v>1067</v>
      </c>
      <c r="AQ64" s="92" t="s">
        <v>1091</v>
      </c>
      <c r="AR64" s="92" t="s">
        <v>877</v>
      </c>
      <c r="AZ64" s="92" t="s">
        <v>1115</v>
      </c>
      <c r="BA64" s="92" t="s">
        <v>1139</v>
      </c>
      <c r="BB64" s="92" t="s">
        <v>1163</v>
      </c>
      <c r="BC64" s="92" t="s">
        <v>878</v>
      </c>
      <c r="BD64" s="92" t="s">
        <v>1187</v>
      </c>
      <c r="BE64" s="92" t="s">
        <v>1258</v>
      </c>
      <c r="BF64" s="92" t="s">
        <v>1281</v>
      </c>
      <c r="BG64" s="92" t="s">
        <v>240</v>
      </c>
      <c r="BH64" s="92" t="s">
        <v>1211</v>
      </c>
      <c r="BI64" s="92" t="s">
        <v>242</v>
      </c>
      <c r="BJ64" s="92" t="s">
        <v>1235</v>
      </c>
    </row>
    <row r="65" spans="1:62" x14ac:dyDescent="0.25">
      <c r="A65" s="92" t="s">
        <v>257</v>
      </c>
      <c r="D65" s="92" t="s">
        <v>879</v>
      </c>
      <c r="E65" s="92" t="s">
        <v>880</v>
      </c>
      <c r="R65" s="92" t="s">
        <v>55</v>
      </c>
      <c r="AF65" s="92" t="s">
        <v>881</v>
      </c>
      <c r="AM65" s="92" t="s">
        <v>882</v>
      </c>
      <c r="AQ65" s="92" t="s">
        <v>883</v>
      </c>
      <c r="AR65" s="92" t="s">
        <v>884</v>
      </c>
      <c r="AZ65" s="92" t="s">
        <v>885</v>
      </c>
      <c r="BB65" s="92" t="s">
        <v>886</v>
      </c>
      <c r="BE65" s="92" t="s">
        <v>887</v>
      </c>
      <c r="BF65" s="92" t="s">
        <v>888</v>
      </c>
      <c r="BG65" s="92" t="s">
        <v>889</v>
      </c>
      <c r="BI65" s="92" t="s">
        <v>890</v>
      </c>
    </row>
    <row r="66" spans="1:62" x14ac:dyDescent="0.25">
      <c r="A66" s="92" t="s">
        <v>257</v>
      </c>
      <c r="C66" s="92" t="s">
        <v>891</v>
      </c>
      <c r="D66" s="92" t="s">
        <v>972</v>
      </c>
      <c r="E66" s="92" t="s">
        <v>892</v>
      </c>
      <c r="F66" s="92" t="s">
        <v>893</v>
      </c>
      <c r="G66" s="92" t="s">
        <v>894</v>
      </c>
      <c r="H66" s="92" t="s">
        <v>895</v>
      </c>
      <c r="I66" s="92" t="s">
        <v>896</v>
      </c>
      <c r="J66" s="92" t="s">
        <v>897</v>
      </c>
      <c r="K66" s="92" t="s">
        <v>898</v>
      </c>
      <c r="L66" s="92" t="s">
        <v>899</v>
      </c>
      <c r="M66" s="92" t="s">
        <v>900</v>
      </c>
      <c r="N66" s="92" t="s">
        <v>901</v>
      </c>
      <c r="O66" s="92" t="s">
        <v>902</v>
      </c>
      <c r="P66" s="92" t="s">
        <v>903</v>
      </c>
      <c r="R66" s="92" t="s">
        <v>904</v>
      </c>
      <c r="Y66" s="92" t="s">
        <v>905</v>
      </c>
      <c r="Z66" s="92" t="s">
        <v>996</v>
      </c>
      <c r="AC66" s="92" t="s">
        <v>226</v>
      </c>
      <c r="AD66" s="92" t="s">
        <v>906</v>
      </c>
      <c r="AN66" s="92" t="s">
        <v>1020</v>
      </c>
      <c r="AO66" s="92" t="s">
        <v>1044</v>
      </c>
      <c r="AP66" s="92" t="s">
        <v>1068</v>
      </c>
      <c r="AQ66" s="92" t="s">
        <v>1092</v>
      </c>
      <c r="AR66" s="92" t="s">
        <v>907</v>
      </c>
      <c r="AZ66" s="92" t="s">
        <v>1116</v>
      </c>
      <c r="BA66" s="92" t="s">
        <v>1140</v>
      </c>
      <c r="BB66" s="92" t="s">
        <v>1164</v>
      </c>
      <c r="BC66" s="92" t="s">
        <v>908</v>
      </c>
      <c r="BD66" s="92" t="s">
        <v>1188</v>
      </c>
      <c r="BE66" s="92" t="s">
        <v>1259</v>
      </c>
      <c r="BF66" s="92" t="s">
        <v>1282</v>
      </c>
      <c r="BG66" s="92" t="s">
        <v>240</v>
      </c>
      <c r="BH66" s="92" t="s">
        <v>1212</v>
      </c>
      <c r="BI66" s="92" t="s">
        <v>242</v>
      </c>
      <c r="BJ66" s="92" t="s">
        <v>1236</v>
      </c>
    </row>
    <row r="67" spans="1:62" x14ac:dyDescent="0.25">
      <c r="A67" s="92" t="s">
        <v>257</v>
      </c>
      <c r="D67" s="92" t="s">
        <v>909</v>
      </c>
      <c r="E67" s="92" t="s">
        <v>910</v>
      </c>
      <c r="R67" s="92" t="s">
        <v>55</v>
      </c>
      <c r="AF67" s="92" t="s">
        <v>911</v>
      </c>
      <c r="AM67" s="92" t="s">
        <v>912</v>
      </c>
      <c r="AQ67" s="92" t="s">
        <v>913</v>
      </c>
      <c r="AR67" s="92" t="s">
        <v>914</v>
      </c>
      <c r="AZ67" s="92" t="s">
        <v>915</v>
      </c>
      <c r="BB67" s="92" t="s">
        <v>916</v>
      </c>
      <c r="BE67" s="92" t="s">
        <v>917</v>
      </c>
      <c r="BF67" s="92" t="s">
        <v>918</v>
      </c>
      <c r="BG67" s="92" t="s">
        <v>919</v>
      </c>
      <c r="BI67" s="92" t="s">
        <v>920</v>
      </c>
    </row>
    <row r="68" spans="1:62" x14ac:dyDescent="0.25">
      <c r="A68" s="92" t="s">
        <v>257</v>
      </c>
      <c r="C68" s="92" t="s">
        <v>921</v>
      </c>
      <c r="D68" s="92" t="s">
        <v>973</v>
      </c>
      <c r="E68" s="92" t="s">
        <v>922</v>
      </c>
      <c r="F68" s="92" t="s">
        <v>923</v>
      </c>
      <c r="G68" s="92" t="s">
        <v>924</v>
      </c>
      <c r="H68" s="92" t="s">
        <v>925</v>
      </c>
      <c r="I68" s="92" t="s">
        <v>926</v>
      </c>
      <c r="J68" s="92" t="s">
        <v>927</v>
      </c>
      <c r="K68" s="92" t="s">
        <v>928</v>
      </c>
      <c r="L68" s="92" t="s">
        <v>929</v>
      </c>
      <c r="M68" s="92" t="s">
        <v>930</v>
      </c>
      <c r="N68" s="92" t="s">
        <v>931</v>
      </c>
      <c r="O68" s="92" t="s">
        <v>932</v>
      </c>
      <c r="P68" s="92" t="s">
        <v>933</v>
      </c>
      <c r="R68" s="92" t="s">
        <v>934</v>
      </c>
      <c r="Y68" s="92" t="s">
        <v>935</v>
      </c>
      <c r="Z68" s="92" t="s">
        <v>997</v>
      </c>
      <c r="AC68" s="92" t="s">
        <v>226</v>
      </c>
      <c r="AD68" s="92" t="s">
        <v>936</v>
      </c>
      <c r="AN68" s="92" t="s">
        <v>1021</v>
      </c>
      <c r="AO68" s="92" t="s">
        <v>1045</v>
      </c>
      <c r="AP68" s="92" t="s">
        <v>1069</v>
      </c>
      <c r="AQ68" s="92" t="s">
        <v>1093</v>
      </c>
      <c r="AR68" s="92" t="s">
        <v>937</v>
      </c>
      <c r="AZ68" s="92" t="s">
        <v>1117</v>
      </c>
      <c r="BA68" s="92" t="s">
        <v>1141</v>
      </c>
      <c r="BB68" s="92" t="s">
        <v>1165</v>
      </c>
      <c r="BC68" s="92" t="s">
        <v>938</v>
      </c>
      <c r="BD68" s="92" t="s">
        <v>1189</v>
      </c>
      <c r="BE68" s="92" t="s">
        <v>1260</v>
      </c>
      <c r="BF68" s="92" t="s">
        <v>1283</v>
      </c>
      <c r="BG68" s="92" t="s">
        <v>240</v>
      </c>
      <c r="BH68" s="92" t="s">
        <v>1213</v>
      </c>
      <c r="BI68" s="92" t="s">
        <v>242</v>
      </c>
      <c r="BJ68" s="92" t="s">
        <v>1237</v>
      </c>
    </row>
    <row r="69" spans="1:62" x14ac:dyDescent="0.25">
      <c r="A69" s="92" t="s">
        <v>257</v>
      </c>
      <c r="D69" s="92" t="s">
        <v>939</v>
      </c>
      <c r="E69" s="92" t="s">
        <v>940</v>
      </c>
      <c r="R69" s="92" t="s">
        <v>55</v>
      </c>
      <c r="AF69" s="92" t="s">
        <v>941</v>
      </c>
      <c r="AM69" s="92" t="s">
        <v>942</v>
      </c>
      <c r="AQ69" s="92" t="s">
        <v>943</v>
      </c>
      <c r="AR69" s="92" t="s">
        <v>944</v>
      </c>
      <c r="AZ69" s="92" t="s">
        <v>945</v>
      </c>
      <c r="BB69" s="92" t="s">
        <v>946</v>
      </c>
      <c r="BE69" s="92" t="s">
        <v>947</v>
      </c>
      <c r="BF69" s="92" t="s">
        <v>948</v>
      </c>
      <c r="BG69" s="92" t="s">
        <v>949</v>
      </c>
      <c r="BI69" s="92" t="s">
        <v>950</v>
      </c>
    </row>
    <row r="70" spans="1:62" x14ac:dyDescent="0.25">
      <c r="A70" s="92" t="s">
        <v>12</v>
      </c>
    </row>
    <row r="71" spans="1:62" x14ac:dyDescent="0.25">
      <c r="A71" s="92"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2A25902079704BBEC2ACB40F7A9A8E" ma:contentTypeVersion="1" ma:contentTypeDescription="Create a new document." ma:contentTypeScope="" ma:versionID="ce20f95a21993c1ec590255ccf7c4dc2">
  <xsd:schema xmlns:xsd="http://www.w3.org/2001/XMLSchema" xmlns:xs="http://www.w3.org/2001/XMLSchema" xmlns:p="http://schemas.microsoft.com/office/2006/metadata/properties" xmlns:ns3="e4fa4f11-8c9c-4437-87e1-598772133a1b" targetNamespace="http://schemas.microsoft.com/office/2006/metadata/properties" ma:root="true" ma:fieldsID="f4f83847507cd9adb08c3658057b71b1" ns3:_="">
    <xsd:import namespace="e4fa4f11-8c9c-4437-87e1-598772133a1b"/>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a4f11-8c9c-4437-87e1-598772133a1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3FB519-EBEF-425A-9623-EB8B70AAA05D}">
  <ds:schemaRefs>
    <ds:schemaRef ds:uri="http://schemas.microsoft.com/sharepoint/v3/contenttype/forms"/>
  </ds:schemaRefs>
</ds:datastoreItem>
</file>

<file path=customXml/itemProps2.xml><?xml version="1.0" encoding="utf-8"?>
<ds:datastoreItem xmlns:ds="http://schemas.openxmlformats.org/officeDocument/2006/customXml" ds:itemID="{CD72608B-D3D9-4499-852D-09C4FA76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a4f11-8c9c-4437-87e1-598772133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B2D76B-43DA-4C00-B1DF-DAC4AC16FDB4}">
  <ds:schemaRefs>
    <ds:schemaRef ds:uri="e4fa4f11-8c9c-4437-87e1-598772133a1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30</vt:i4>
      </vt:variant>
    </vt:vector>
  </HeadingPairs>
  <TitlesOfParts>
    <vt:vector size="32" baseType="lpstr">
      <vt:lpstr>Options</vt:lpstr>
      <vt:lpstr>Report</vt:lpstr>
      <vt:lpstr>Account</vt:lpstr>
      <vt:lpstr>AccountIDN</vt:lpstr>
      <vt:lpstr>AccountIDP</vt:lpstr>
      <vt:lpstr>AccountNo</vt:lpstr>
      <vt:lpstr>AccountnumN</vt:lpstr>
      <vt:lpstr>accountNumP</vt:lpstr>
      <vt:lpstr>AccountsN</vt:lpstr>
      <vt:lpstr>accountsp</vt:lpstr>
      <vt:lpstr>datasourceN</vt:lpstr>
      <vt:lpstr>datasourceP</vt:lpstr>
      <vt:lpstr>Datefilter</vt:lpstr>
      <vt:lpstr>datefilterp</vt:lpstr>
      <vt:lpstr>DatespreadN</vt:lpstr>
      <vt:lpstr>dealergroupN</vt:lpstr>
      <vt:lpstr>dealergroupp</vt:lpstr>
      <vt:lpstr>EmailDistN</vt:lpstr>
      <vt:lpstr>EmailDistO</vt:lpstr>
      <vt:lpstr>Int_or_client</vt:lpstr>
      <vt:lpstr>LastdateN</vt:lpstr>
      <vt:lpstr>LimitN</vt:lpstr>
      <vt:lpstr>ParentacctN</vt:lpstr>
      <vt:lpstr>parentacctp</vt:lpstr>
      <vt:lpstr>Report!Print_Area</vt:lpstr>
      <vt:lpstr>Report!Print_Titles</vt:lpstr>
      <vt:lpstr>StartdateN</vt:lpstr>
      <vt:lpstr>StringoneP</vt:lpstr>
      <vt:lpstr>StringtwoP</vt:lpstr>
      <vt:lpstr>TimeDescP</vt:lpstr>
      <vt:lpstr>TimePeriodN</vt:lpstr>
      <vt:lpstr>timperiod</vt:lpstr>
    </vt:vector>
  </TitlesOfParts>
  <Company>Callbutton.biz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Markette</dc:creator>
  <cp:lastModifiedBy>Reports</cp:lastModifiedBy>
  <cp:lastPrinted>2010-05-08T16:08:52Z</cp:lastPrinted>
  <dcterms:created xsi:type="dcterms:W3CDTF">2010-01-15T18:24:39Z</dcterms:created>
  <dcterms:modified xsi:type="dcterms:W3CDTF">2024-05-28T17:45:45Z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y fmtid="{D5CDD505-2E9C-101B-9397-08002B2CF9AE}" pid="3" name="Jet Reports Last Version Refresh">
    <vt:lpwstr>Version 7.1.2  Released 3/16/2009 3:09:32 PM</vt:lpwstr>
  </property>
  <property fmtid="{D5CDD505-2E9C-101B-9397-08002B2CF9AE}" pid="4" name="Jet Reports Design Mode Active">
    <vt:bool>false</vt:bool>
  </property>
  <property fmtid="{D5CDD505-2E9C-101B-9397-08002B2CF9AE}" pid="5" name="NeedsREVERT">
    <vt:lpwstr>FALSE</vt:lpwstr>
  </property>
  <property fmtid="{D5CDD505-2E9C-101B-9397-08002B2CF9AE}" pid="6" name="OriginalName">
    <vt:lpwstr>Callrevu Daily Report-Profit leak.xlsx</vt:lpwstr>
  </property>
  <property fmtid="{D5CDD505-2E9C-101B-9397-08002B2CF9AE}" pid="7" name="ContentTypeId">
    <vt:lpwstr>0x010100322A25902079704BBEC2ACB40F7A9A8E</vt:lpwstr>
  </property>
  <property fmtid="{D5CDD505-2E9C-101B-9397-08002B2CF9AE}" pid="8" name="IsMyDocuments">
    <vt:bool>true</vt:bool>
  </property>
  <property fmtid="{D5CDD505-2E9C-101B-9397-08002B2CF9AE}" pid="9" name="Jet Reports Function Literals">
    <vt:lpwstr>,	;	,	{	}	[@[{0}]]	1033</vt:lpwstr>
  </property>
</Properties>
</file>